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eskom-my.sharepoint.com/personal/makgokbm_eskom_co_za/Documents/2. GAUTENG CLUSTER/1. Procurement/16. Minor repairs - various sites/4. Inquiry NEC/5. Inquiry documents/1. Stepdown - GaRankuwa - Mathibestad/"/>
    </mc:Choice>
  </mc:AlternateContent>
  <xr:revisionPtr revIDLastSave="374" documentId="13_ncr:1_{3481263D-26B4-447F-9C06-036F8B0A5072}" xr6:coauthVersionLast="47" xr6:coauthVersionMax="47" xr10:uidLastSave="{1414E489-8EDE-410E-BAA9-821BB7155675}"/>
  <bookViews>
    <workbookView xWindow="-110" yWindow="-110" windowWidth="19420" windowHeight="10300" xr2:uid="{97E9770B-F23B-4E31-B592-F7DF15FCF4E8}"/>
  </bookViews>
  <sheets>
    <sheet name="P&amp;G's" sheetId="1" r:id="rId1"/>
    <sheet name="BOQ (3)" sheetId="2" r:id="rId2"/>
    <sheet name="Summary" sheetId="3" r:id="rId3"/>
    <sheet name="Total summary"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D5" i="4"/>
  <c r="D19" i="3" l="1"/>
  <c r="D41" i="3"/>
  <c r="D40" i="3"/>
  <c r="D39" i="3"/>
  <c r="D38" i="3"/>
  <c r="D37" i="3"/>
  <c r="D36" i="3"/>
  <c r="D35" i="3"/>
  <c r="D34" i="3"/>
  <c r="D33" i="3"/>
  <c r="D32" i="3"/>
  <c r="D31" i="3"/>
  <c r="D30" i="3"/>
  <c r="D29" i="3"/>
  <c r="D28" i="3"/>
  <c r="D27" i="3"/>
  <c r="D26" i="3"/>
  <c r="D25" i="3"/>
  <c r="D24" i="3"/>
  <c r="D23" i="3"/>
  <c r="D22" i="3"/>
  <c r="D21" i="3"/>
  <c r="D20" i="3"/>
  <c r="A30" i="3"/>
  <c r="A31" i="3" s="1"/>
  <c r="A32" i="3" s="1"/>
  <c r="A33" i="3" s="1"/>
  <c r="A34" i="3" s="1"/>
  <c r="A35" i="3" s="1"/>
  <c r="A36" i="3" s="1"/>
  <c r="A37" i="3" s="1"/>
  <c r="A29" i="3"/>
  <c r="A21" i="3"/>
  <c r="A22" i="3" s="1"/>
  <c r="A23" i="3" s="1"/>
  <c r="A24" i="3" s="1"/>
  <c r="A25" i="3" s="1"/>
  <c r="A26" i="3" s="1"/>
  <c r="A27" i="3" s="1"/>
  <c r="A20" i="3"/>
  <c r="D42" i="3" l="1"/>
  <c r="F815" i="2" l="1"/>
  <c r="F813" i="2"/>
  <c r="F804" i="2"/>
  <c r="F805" i="2"/>
  <c r="F806" i="2"/>
  <c r="F807" i="2"/>
  <c r="F808" i="2"/>
  <c r="F809" i="2"/>
  <c r="F810" i="2"/>
  <c r="F803" i="2"/>
  <c r="F792" i="2"/>
  <c r="F793" i="2"/>
  <c r="F794" i="2"/>
  <c r="F795" i="2"/>
  <c r="F791" i="2"/>
  <c r="F797" i="2"/>
  <c r="F787" i="2"/>
  <c r="F777" i="2"/>
  <c r="F778" i="2"/>
  <c r="F779" i="2"/>
  <c r="F780" i="2"/>
  <c r="F781" i="2"/>
  <c r="F782" i="2"/>
  <c r="F783" i="2"/>
  <c r="F784" i="2"/>
  <c r="F776" i="2"/>
  <c r="F772" i="2"/>
  <c r="F763" i="2"/>
  <c r="F764" i="2"/>
  <c r="F765" i="2"/>
  <c r="F766" i="2"/>
  <c r="F767" i="2"/>
  <c r="F768" i="2"/>
  <c r="F769" i="2"/>
  <c r="F770" i="2"/>
  <c r="F762" i="2"/>
  <c r="F758" i="2"/>
  <c r="F747" i="2"/>
  <c r="F748" i="2"/>
  <c r="F749" i="2"/>
  <c r="F750" i="2"/>
  <c r="F751" i="2"/>
  <c r="F752" i="2"/>
  <c r="F753" i="2"/>
  <c r="F754" i="2"/>
  <c r="F755" i="2"/>
  <c r="F756" i="2"/>
  <c r="F746" i="2"/>
  <c r="F742" i="2"/>
  <c r="F728" i="2"/>
  <c r="F729" i="2"/>
  <c r="F730" i="2"/>
  <c r="F731" i="2"/>
  <c r="F732" i="2"/>
  <c r="F733" i="2"/>
  <c r="F734" i="2"/>
  <c r="F735" i="2"/>
  <c r="F736" i="2"/>
  <c r="F737" i="2"/>
  <c r="F738" i="2"/>
  <c r="F739" i="2"/>
  <c r="F727" i="2"/>
  <c r="F723" i="2"/>
  <c r="F713" i="2"/>
  <c r="F714" i="2"/>
  <c r="F715" i="2"/>
  <c r="F716" i="2"/>
  <c r="F717" i="2"/>
  <c r="F718" i="2"/>
  <c r="F719" i="2"/>
  <c r="F720" i="2"/>
  <c r="F712" i="2"/>
  <c r="F708" i="2"/>
  <c r="F704" i="2"/>
  <c r="F705" i="2"/>
  <c r="F703" i="2"/>
  <c r="F691" i="2"/>
  <c r="F692" i="2"/>
  <c r="F693" i="2"/>
  <c r="F694" i="2"/>
  <c r="F695" i="2"/>
  <c r="F696" i="2"/>
  <c r="F690" i="2"/>
  <c r="F699" i="2" s="1"/>
  <c r="F686"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44" i="2"/>
  <c r="F640" i="2"/>
  <c r="F637" i="2"/>
  <c r="F638" i="2"/>
  <c r="F636" i="2"/>
  <c r="F632" i="2"/>
  <c r="F628" i="2"/>
  <c r="F629" i="2"/>
  <c r="F627" i="2"/>
  <c r="F623" i="2"/>
  <c r="F619" i="2"/>
  <c r="F620" i="2"/>
  <c r="F618" i="2"/>
  <c r="F607" i="2"/>
  <c r="F609" i="2"/>
  <c r="F611" i="2"/>
  <c r="F583" i="2"/>
  <c r="F584" i="2"/>
  <c r="F585" i="2"/>
  <c r="F587" i="2"/>
  <c r="F589" i="2"/>
  <c r="F591" i="2"/>
  <c r="F593" i="2"/>
  <c r="F594" i="2"/>
  <c r="F595" i="2"/>
  <c r="F596" i="2"/>
  <c r="F597" i="2"/>
  <c r="F599" i="2"/>
  <c r="F600" i="2"/>
  <c r="F563" i="2"/>
  <c r="F565" i="2"/>
  <c r="F567" i="2"/>
  <c r="F569" i="2"/>
  <c r="F571" i="2"/>
  <c r="F573" i="2"/>
  <c r="F575" i="2"/>
  <c r="F576" i="2"/>
  <c r="F549" i="2"/>
  <c r="F550" i="2"/>
  <c r="F551" i="2"/>
  <c r="F553" i="2"/>
  <c r="F555" i="2"/>
  <c r="F556" i="2"/>
  <c r="F548" i="2"/>
  <c r="F523" i="2"/>
  <c r="F525" i="2"/>
  <c r="F527" i="2"/>
  <c r="F529" i="2"/>
  <c r="F531" i="2"/>
  <c r="F532" i="2"/>
  <c r="F533" i="2"/>
  <c r="F534" i="2"/>
  <c r="F535" i="2"/>
  <c r="F537" i="2"/>
  <c r="F539" i="2"/>
  <c r="F541" i="2"/>
  <c r="F542" i="2"/>
  <c r="F483" i="2"/>
  <c r="F485" i="2"/>
  <c r="F486" i="2"/>
  <c r="F487" i="2"/>
  <c r="F488" i="2"/>
  <c r="F489" i="2"/>
  <c r="F491" i="2"/>
  <c r="F492" i="2"/>
  <c r="F493" i="2"/>
  <c r="F495" i="2"/>
  <c r="F497" i="2"/>
  <c r="F498" i="2"/>
  <c r="F499" i="2"/>
  <c r="F500" i="2"/>
  <c r="F501" i="2"/>
  <c r="F502" i="2"/>
  <c r="F503" i="2"/>
  <c r="F504" i="2"/>
  <c r="F505" i="2"/>
  <c r="F507" i="2"/>
  <c r="F508" i="2"/>
  <c r="F509" i="2"/>
  <c r="F510" i="2"/>
  <c r="F511" i="2"/>
  <c r="F512" i="2"/>
  <c r="F513" i="2"/>
  <c r="F514" i="2"/>
  <c r="F515" i="2"/>
  <c r="F445" i="2"/>
  <c r="F446" i="2"/>
  <c r="F447" i="2"/>
  <c r="F449" i="2"/>
  <c r="F451" i="2"/>
  <c r="F453" i="2"/>
  <c r="F455" i="2"/>
  <c r="F457" i="2"/>
  <c r="F459" i="2"/>
  <c r="F460" i="2"/>
  <c r="F461" i="2"/>
  <c r="F462" i="2"/>
  <c r="F463" i="2"/>
  <c r="F464" i="2"/>
  <c r="F465" i="2"/>
  <c r="F466" i="2"/>
  <c r="F467" i="2"/>
  <c r="F468" i="2"/>
  <c r="F469" i="2"/>
  <c r="F470" i="2"/>
  <c r="F471" i="2"/>
  <c r="F472" i="2"/>
  <c r="F473" i="2"/>
  <c r="F474" i="2"/>
  <c r="F475" i="2"/>
  <c r="F476" i="2"/>
  <c r="F412" i="2"/>
  <c r="F414" i="2"/>
  <c r="F416" i="2"/>
  <c r="F418" i="2"/>
  <c r="F420" i="2"/>
  <c r="F422" i="2"/>
  <c r="F424" i="2"/>
  <c r="F426" i="2"/>
  <c r="F428" i="2"/>
  <c r="F429" i="2"/>
  <c r="F430" i="2"/>
  <c r="F431" i="2"/>
  <c r="F432" i="2"/>
  <c r="F434" i="2"/>
  <c r="F436" i="2"/>
  <c r="F437" i="2"/>
  <c r="D793" i="2"/>
  <c r="D791" i="2"/>
  <c r="D782" i="2"/>
  <c r="D776" i="2"/>
  <c r="D778" i="2" s="1"/>
  <c r="D766" i="2"/>
  <c r="D768" i="2" s="1"/>
  <c r="D762" i="2"/>
  <c r="D764" i="2" s="1"/>
  <c r="D754" i="2"/>
  <c r="D748" i="2"/>
  <c r="D750" i="2" s="1"/>
  <c r="D746" i="2"/>
  <c r="D735" i="2"/>
  <c r="D737" i="2" s="1"/>
  <c r="D733" i="2"/>
  <c r="D729" i="2"/>
  <c r="D731" i="2" s="1"/>
  <c r="D727" i="2"/>
  <c r="D703" i="2"/>
  <c r="D705" i="2" s="1"/>
  <c r="D692" i="2"/>
  <c r="D696" i="2" s="1"/>
  <c r="D690" i="2"/>
  <c r="D684" i="2"/>
  <c r="D682" i="2"/>
  <c r="D678" i="2"/>
  <c r="D672" i="2"/>
  <c r="D674" i="2" s="1"/>
  <c r="D668" i="2"/>
  <c r="D666" i="2"/>
  <c r="D664" i="2"/>
  <c r="D656" i="2"/>
  <c r="D636" i="2"/>
  <c r="D638" i="2" s="1"/>
  <c r="D627" i="2"/>
  <c r="D629" i="2" s="1"/>
  <c r="D618" i="2"/>
  <c r="D620" i="2" s="1"/>
  <c r="D612" i="2"/>
  <c r="F612" i="2" s="1"/>
  <c r="D610" i="2"/>
  <c r="F610" i="2" s="1"/>
  <c r="D606" i="2"/>
  <c r="D608" i="2" s="1"/>
  <c r="F608" i="2" s="1"/>
  <c r="D598" i="2"/>
  <c r="F598" i="2" s="1"/>
  <c r="D590" i="2"/>
  <c r="D592" i="2" s="1"/>
  <c r="F592" i="2" s="1"/>
  <c r="D586" i="2"/>
  <c r="D588" i="2" s="1"/>
  <c r="F588" i="2" s="1"/>
  <c r="D582" i="2"/>
  <c r="D584" i="2" s="1"/>
  <c r="D572" i="2"/>
  <c r="D574" i="2" s="1"/>
  <c r="F574" i="2" s="1"/>
  <c r="D568" i="2"/>
  <c r="D570" i="2" s="1"/>
  <c r="F570" i="2" s="1"/>
  <c r="D562" i="2"/>
  <c r="D564" i="2" s="1"/>
  <c r="D566" i="2" s="1"/>
  <c r="F566" i="2" s="1"/>
  <c r="D552" i="2"/>
  <c r="D554" i="2" s="1"/>
  <c r="F554" i="2" s="1"/>
  <c r="D538" i="2"/>
  <c r="D540" i="2" s="1"/>
  <c r="F540" i="2" s="1"/>
  <c r="D534" i="2"/>
  <c r="D536" i="2" s="1"/>
  <c r="F536" i="2" s="1"/>
  <c r="D528" i="2"/>
  <c r="D530" i="2" s="1"/>
  <c r="F530" i="2" s="1"/>
  <c r="D522" i="2"/>
  <c r="D524" i="2" s="1"/>
  <c r="D526" i="2" s="1"/>
  <c r="F526" i="2" s="1"/>
  <c r="D516" i="2"/>
  <c r="F516" i="2" s="1"/>
  <c r="D506" i="2"/>
  <c r="F506" i="2" s="1"/>
  <c r="D494" i="2"/>
  <c r="D498" i="2" s="1"/>
  <c r="D486" i="2"/>
  <c r="D488" i="2" s="1"/>
  <c r="D490" i="2" s="1"/>
  <c r="F490" i="2" s="1"/>
  <c r="D482" i="2"/>
  <c r="D484" i="2" s="1"/>
  <c r="F484" i="2" s="1"/>
  <c r="D456" i="2"/>
  <c r="F456" i="2" s="1"/>
  <c r="D454" i="2"/>
  <c r="D458" i="2" s="1"/>
  <c r="F458" i="2" s="1"/>
  <c r="D448" i="2"/>
  <c r="D450" i="2" s="1"/>
  <c r="D452" i="2" s="1"/>
  <c r="F452" i="2" s="1"/>
  <c r="D444" i="2"/>
  <c r="D446" i="2" s="1"/>
  <c r="D435" i="2"/>
  <c r="F435" i="2" s="1"/>
  <c r="D433" i="2"/>
  <c r="F433" i="2" s="1"/>
  <c r="D427" i="2"/>
  <c r="F427" i="2" s="1"/>
  <c r="D425" i="2"/>
  <c r="F425" i="2" s="1"/>
  <c r="D423" i="2"/>
  <c r="F423" i="2" s="1"/>
  <c r="D421" i="2"/>
  <c r="F421" i="2" s="1"/>
  <c r="D419" i="2"/>
  <c r="F419" i="2" s="1"/>
  <c r="D415" i="2"/>
  <c r="F415" i="2" s="1"/>
  <c r="D411" i="2"/>
  <c r="D413" i="2" s="1"/>
  <c r="F413" i="2" s="1"/>
  <c r="D404" i="2"/>
  <c r="F404" i="2" s="1"/>
  <c r="F407" i="2" s="1"/>
  <c r="F88" i="1"/>
  <c r="F87" i="1"/>
  <c r="F85" i="1"/>
  <c r="F81" i="1"/>
  <c r="F79" i="1"/>
  <c r="F77" i="1"/>
  <c r="F75" i="1"/>
  <c r="F73" i="1"/>
  <c r="F71" i="1"/>
  <c r="F606" i="2" l="1"/>
  <c r="F450" i="2"/>
  <c r="F538" i="2"/>
  <c r="F524" i="2"/>
  <c r="F568" i="2"/>
  <c r="F614" i="2"/>
  <c r="F448" i="2"/>
  <c r="F562" i="2"/>
  <c r="F494" i="2"/>
  <c r="F590" i="2"/>
  <c r="F482" i="2"/>
  <c r="F582" i="2"/>
  <c r="F602" i="2" s="1"/>
  <c r="F454" i="2"/>
  <c r="F444" i="2"/>
  <c r="F564" i="2"/>
  <c r="F411" i="2"/>
  <c r="F522" i="2"/>
  <c r="F572" i="2"/>
  <c r="F528" i="2"/>
  <c r="F552" i="2"/>
  <c r="F558" i="2" s="1"/>
  <c r="F586" i="2"/>
  <c r="D417" i="2"/>
  <c r="F417" i="2" s="1"/>
  <c r="D694" i="2"/>
  <c r="D496" i="2"/>
  <c r="F496" i="2" s="1"/>
  <c r="F440" i="2" l="1"/>
  <c r="F478" i="2"/>
  <c r="F518" i="2"/>
  <c r="F578" i="2"/>
  <c r="F544" i="2"/>
  <c r="F221" i="2"/>
  <c r="F222" i="2"/>
  <c r="F223" i="2"/>
  <c r="F224" i="2"/>
  <c r="F226" i="2"/>
  <c r="F227" i="2"/>
  <c r="F228" i="2"/>
  <c r="F229" i="2"/>
  <c r="F230" i="2"/>
  <c r="F231" i="2"/>
  <c r="F232" i="2"/>
  <c r="F233" i="2"/>
  <c r="F234" i="2"/>
  <c r="F237" i="2"/>
  <c r="F239" i="2"/>
  <c r="F241" i="2"/>
  <c r="F245" i="2"/>
  <c r="F246" i="2"/>
  <c r="F248" i="2"/>
  <c r="F252" i="2"/>
  <c r="F253" i="2"/>
  <c r="F254" i="2"/>
  <c r="F255" i="2"/>
  <c r="F257" i="2"/>
  <c r="F259" i="2"/>
  <c r="F262" i="2"/>
  <c r="F266" i="2"/>
  <c r="F269" i="2"/>
  <c r="F270" i="2"/>
  <c r="F271" i="2"/>
  <c r="F272" i="2"/>
  <c r="F275" i="2"/>
  <c r="F278" i="2"/>
  <c r="F279" i="2"/>
  <c r="F283" i="2"/>
  <c r="F287" i="2"/>
  <c r="F289" i="2"/>
  <c r="F292" i="2"/>
  <c r="F295" i="2"/>
  <c r="F298" i="2"/>
  <c r="F300" i="2"/>
  <c r="F301" i="2"/>
  <c r="F303" i="2"/>
  <c r="F306" i="2"/>
  <c r="F307" i="2"/>
  <c r="F312" i="2"/>
  <c r="F313" i="2"/>
  <c r="F314" i="2"/>
  <c r="F315" i="2"/>
  <c r="F316" i="2"/>
  <c r="F317" i="2"/>
  <c r="F318" i="2"/>
  <c r="F319" i="2"/>
  <c r="F320" i="2"/>
  <c r="F321" i="2"/>
  <c r="F324" i="2"/>
  <c r="F325" i="2"/>
  <c r="F326" i="2"/>
  <c r="F327" i="2"/>
  <c r="F328" i="2"/>
  <c r="F329" i="2"/>
  <c r="F330" i="2"/>
  <c r="F331" i="2"/>
  <c r="F338" i="2"/>
  <c r="F339" i="2"/>
  <c r="F340" i="2"/>
  <c r="F341" i="2"/>
  <c r="F342" i="2"/>
  <c r="F346" i="2"/>
  <c r="F347" i="2"/>
  <c r="F348" i="2"/>
  <c r="F349" i="2"/>
  <c r="F350" i="2"/>
  <c r="F351" i="2"/>
  <c r="F352" i="2"/>
  <c r="F353" i="2"/>
  <c r="F354" i="2"/>
  <c r="F355" i="2"/>
  <c r="F220" i="2"/>
  <c r="D323" i="2"/>
  <c r="F323" i="2" s="1"/>
  <c r="D322" i="2"/>
  <c r="F322" i="2" s="1"/>
  <c r="D305" i="2"/>
  <c r="F305" i="2" s="1"/>
  <c r="D304" i="2"/>
  <c r="F304" i="2" s="1"/>
  <c r="D299" i="2"/>
  <c r="F299" i="2" s="1"/>
  <c r="D297" i="2"/>
  <c r="F297" i="2" s="1"/>
  <c r="D296" i="2"/>
  <c r="F296" i="2" s="1"/>
  <c r="D293" i="2"/>
  <c r="F293" i="2" s="1"/>
  <c r="D291" i="2"/>
  <c r="F291" i="2" s="1"/>
  <c r="D290" i="2"/>
  <c r="F290" i="2" s="1"/>
  <c r="D286" i="2"/>
  <c r="F286" i="2" s="1"/>
  <c r="D285" i="2"/>
  <c r="F285" i="2" s="1"/>
  <c r="D284" i="2"/>
  <c r="F284" i="2" s="1"/>
  <c r="D281" i="2"/>
  <c r="F281" i="2" s="1"/>
  <c r="D280" i="2"/>
  <c r="F280" i="2" s="1"/>
  <c r="D277" i="2"/>
  <c r="F277" i="2" s="1"/>
  <c r="D276" i="2"/>
  <c r="F276" i="2" s="1"/>
  <c r="D273" i="2"/>
  <c r="F273" i="2" s="1"/>
  <c r="D272" i="2"/>
  <c r="D268" i="2"/>
  <c r="F268" i="2" s="1"/>
  <c r="D267" i="2"/>
  <c r="F267" i="2" s="1"/>
  <c r="D264" i="2"/>
  <c r="F264" i="2" s="1"/>
  <c r="D263" i="2"/>
  <c r="F263" i="2" s="1"/>
  <c r="D261" i="2"/>
  <c r="F261" i="2" s="1"/>
  <c r="D260" i="2"/>
  <c r="F260" i="2" s="1"/>
  <c r="D256" i="2"/>
  <c r="F256" i="2" s="1"/>
  <c r="D251" i="2"/>
  <c r="F251" i="2" s="1"/>
  <c r="D250" i="2"/>
  <c r="F250" i="2" s="1"/>
  <c r="D249" i="2"/>
  <c r="F249" i="2" s="1"/>
  <c r="D244" i="2"/>
  <c r="F244" i="2" s="1"/>
  <c r="D243" i="2"/>
  <c r="F243" i="2" s="1"/>
  <c r="D242" i="2"/>
  <c r="F242" i="2" s="1"/>
  <c r="D238" i="2"/>
  <c r="F238" i="2" s="1"/>
  <c r="D236" i="2"/>
  <c r="F236" i="2" s="1"/>
  <c r="D235" i="2"/>
  <c r="F235" i="2" s="1"/>
  <c r="D225" i="2"/>
  <c r="F225" i="2" s="1"/>
  <c r="F50" i="1"/>
  <c r="F48" i="1"/>
  <c r="F46" i="1"/>
  <c r="F41" i="1"/>
  <c r="F37" i="1"/>
  <c r="F39" i="1"/>
  <c r="D35" i="1"/>
  <c r="F35" i="1" s="1"/>
  <c r="F356" i="2" l="1"/>
  <c r="F308" i="2"/>
  <c r="D12" i="3" s="1"/>
  <c r="F343" i="2"/>
  <c r="D14" i="3" s="1"/>
  <c r="F332" i="2"/>
  <c r="D13" i="3" s="1"/>
  <c r="F53" i="1"/>
  <c r="D11" i="3" s="1"/>
  <c r="F169" i="2"/>
  <c r="D13" i="1"/>
  <c r="F357" i="2" l="1"/>
  <c r="D15" i="3"/>
  <c r="D16" i="3" s="1"/>
  <c r="F101" i="2"/>
  <c r="F59" i="2"/>
  <c r="F78" i="2"/>
  <c r="F167" i="2"/>
  <c r="F76" i="2"/>
  <c r="F134" i="2" l="1"/>
  <c r="F132" i="2"/>
  <c r="F13" i="1" l="1"/>
  <c r="F14" i="1"/>
  <c r="F19" i="1"/>
  <c r="F11" i="1"/>
  <c r="F159" i="2"/>
  <c r="F157" i="2"/>
  <c r="F136" i="2"/>
  <c r="F126" i="2"/>
  <c r="F115" i="2"/>
  <c r="F93" i="2"/>
  <c r="F87" i="2"/>
  <c r="F80" i="2"/>
  <c r="F71" i="2"/>
  <c r="F165" i="2" l="1"/>
  <c r="F164" i="2"/>
  <c r="D163" i="2"/>
  <c r="F163" i="2" s="1"/>
  <c r="F162" i="2"/>
  <c r="D161" i="2"/>
  <c r="F161" i="2" s="1"/>
  <c r="D155" i="2"/>
  <c r="F155" i="2" s="1"/>
  <c r="D148" i="2"/>
  <c r="F148" i="2" s="1"/>
  <c r="D146" i="2"/>
  <c r="F146" i="2" s="1"/>
  <c r="F145" i="2"/>
  <c r="D144" i="2"/>
  <c r="F144" i="2" s="1"/>
  <c r="F143" i="2"/>
  <c r="D142" i="2"/>
  <c r="F142" i="2" s="1"/>
  <c r="D130" i="2"/>
  <c r="F130" i="2" s="1"/>
  <c r="D128" i="2"/>
  <c r="F128" i="2" s="1"/>
  <c r="D123" i="2"/>
  <c r="F123" i="2" s="1"/>
  <c r="F117" i="2"/>
  <c r="D113" i="2"/>
  <c r="F113" i="2" s="1"/>
  <c r="F112" i="2"/>
  <c r="D111" i="2"/>
  <c r="F111" i="2" s="1"/>
  <c r="F110" i="2"/>
  <c r="D109" i="2"/>
  <c r="F109" i="2" s="1"/>
  <c r="F108" i="2"/>
  <c r="D107" i="2"/>
  <c r="F107" i="2" s="1"/>
  <c r="F106" i="2"/>
  <c r="D105" i="2"/>
  <c r="F105" i="2" s="1"/>
  <c r="F104" i="2"/>
  <c r="F103" i="2"/>
  <c r="D99" i="2"/>
  <c r="F99" i="2" s="1"/>
  <c r="F98" i="2"/>
  <c r="D97" i="2"/>
  <c r="F97" i="2" s="1"/>
  <c r="F96" i="2"/>
  <c r="D95" i="2"/>
  <c r="F95" i="2" s="1"/>
  <c r="F91" i="2"/>
  <c r="F90" i="2"/>
  <c r="D89" i="2"/>
  <c r="F89" i="2" s="1"/>
  <c r="D82" i="2"/>
  <c r="F82" i="2" s="1"/>
  <c r="F69" i="2"/>
  <c r="F68" i="2"/>
  <c r="D67" i="2"/>
  <c r="F67" i="2" s="1"/>
  <c r="F66" i="2"/>
  <c r="D65" i="2"/>
  <c r="F65" i="2" s="1"/>
  <c r="F64" i="2"/>
  <c r="D63" i="2"/>
  <c r="F63" i="2" s="1"/>
  <c r="F62" i="2"/>
  <c r="D61" i="2"/>
  <c r="F61" i="2" s="1"/>
  <c r="D57" i="2"/>
  <c r="F57" i="2" s="1"/>
  <c r="F56" i="2"/>
  <c r="D55" i="2"/>
  <c r="F55" i="2" s="1"/>
  <c r="F54" i="2"/>
  <c r="F52" i="2"/>
  <c r="F51" i="2"/>
  <c r="F50" i="2"/>
  <c r="D49" i="2"/>
  <c r="F49" i="2" s="1"/>
  <c r="F21" i="1"/>
  <c r="F24" i="1" s="1"/>
  <c r="F138" i="2" l="1"/>
  <c r="F119" i="2"/>
  <c r="F170" i="2"/>
  <c r="D7" i="3" s="1"/>
  <c r="D5" i="3"/>
  <c r="F149" i="2"/>
  <c r="D53" i="2"/>
  <c r="F53" i="2" s="1"/>
  <c r="F83" i="2" s="1"/>
  <c r="F151" i="2" l="1"/>
  <c r="D6" i="3" s="1"/>
  <c r="G9" i="1" s="1"/>
  <c r="H9" i="1" s="1"/>
  <c r="D8" i="3" l="1"/>
  <c r="D4" i="4" s="1"/>
  <c r="D8" i="4" s="1"/>
  <c r="D9" i="4" l="1"/>
  <c r="D10"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Phuti Ramphele</author>
  </authors>
  <commentList>
    <comment ref="B251" authorId="0" shapeId="0" xr:uid="{592B4E22-E59A-4DDC-9B48-2419F3322393}">
      <text>
        <r>
          <rPr>
            <b/>
            <sz val="9"/>
            <color indexed="81"/>
            <rFont val="Tahoma"/>
            <family val="2"/>
          </rPr>
          <t>Phuti Ramphele:</t>
        </r>
        <r>
          <rPr>
            <sz val="9"/>
            <color indexed="81"/>
            <rFont val="Tahoma"/>
            <family val="2"/>
          </rPr>
          <t xml:space="preserve">
Assuming 600x600
Ceramic</t>
        </r>
      </text>
    </comment>
  </commentList>
</comments>
</file>

<file path=xl/sharedStrings.xml><?xml version="1.0" encoding="utf-8"?>
<sst xmlns="http://schemas.openxmlformats.org/spreadsheetml/2006/main" count="949" uniqueCount="353">
  <si>
    <t xml:space="preserve">Minor repairs of the existing Step Down CNC area. </t>
  </si>
  <si>
    <t>PRELIMINARIES &amp; GENERALS</t>
  </si>
  <si>
    <t xml:space="preserve">ITEM </t>
  </si>
  <si>
    <t>DESCRIPTION</t>
  </si>
  <si>
    <t>UNIT</t>
  </si>
  <si>
    <t>QTY</t>
  </si>
  <si>
    <t>RATE</t>
  </si>
  <si>
    <t>AMOUNT</t>
  </si>
  <si>
    <t>NB:</t>
  </si>
  <si>
    <t>1.1</t>
  </si>
  <si>
    <t>Preparatory site work</t>
  </si>
  <si>
    <t>1.1.1</t>
  </si>
  <si>
    <t xml:space="preserve">Site visit and verification of requirements </t>
  </si>
  <si>
    <t>Sum</t>
  </si>
  <si>
    <t>1.1.2</t>
  </si>
  <si>
    <t xml:space="preserve">On-site measurements </t>
  </si>
  <si>
    <t>1.1.3</t>
  </si>
  <si>
    <t>Site establishment and e-establishment with associated services, including storage of plant, materials and equipment including protection thereof</t>
  </si>
  <si>
    <t>1.2</t>
  </si>
  <si>
    <t>Sheq requirements</t>
  </si>
  <si>
    <t>1.2.1</t>
  </si>
  <si>
    <t>Occupational Health and Safety compliance, including safety file, medical certificates, site induction, etc.</t>
  </si>
  <si>
    <t>1.2.2</t>
  </si>
  <si>
    <t>PPE for Local Labour</t>
  </si>
  <si>
    <t>Totals</t>
  </si>
  <si>
    <t>ITEM</t>
  </si>
  <si>
    <t>Unit</t>
  </si>
  <si>
    <t>Qauntity</t>
  </si>
  <si>
    <t>Total rate</t>
  </si>
  <si>
    <t>Amount</t>
  </si>
  <si>
    <t>SECTION 02: BUILDING WORKS</t>
  </si>
  <si>
    <t>ALTERATIONS</t>
  </si>
  <si>
    <t>SUPPLEMENTARY PREAMBLES</t>
  </si>
  <si>
    <t>Nature of the work</t>
  </si>
  <si>
    <t>Tenderers are advised to visit the site and to satisfy themselves as to the nature and extent of the work to be done and provide in their tenders for any items not specifically mentioned which they may deem necessary for the proper completion of the work. Tenderers are advised that the existing building will be in occupation during the progress of the work and due allowance must be made for the work being carried out at such times and in such manner as will least interfere with the routine of the occupants and as may be directed by the Project Manager</t>
  </si>
  <si>
    <t>General</t>
  </si>
  <si>
    <t>The Contractor shall carry out the work with as little mess and noise possible and with a minimum of disturbance to the occupants. The Contractor shall provide proper protection and provide and erect any temporary tarpaulins that may be necessary during the progress of the works, all to the satisfaction of the Principal Agent, and remove when directed</t>
  </si>
  <si>
    <t>Where doors, windows, etc are described as taken out, this shall be understood to include for removal of all beads, architraves, ironmongery, etc. Doors, windows, etc that are to be re-fixed are to be provided with new architraves</t>
  </si>
  <si>
    <t>Doors, fanlights, fittings, frames, linings, windows, etc which are to be re-used shall be thoroughly overhauled before re-fixing including taking off, easing and re-hanging, cramping up, re-wedging as required and making good cramps, dowels, etc and easing, oiling, adjusting and repairing ironmongery if necessary, replacing any glass damaged in removal or subsequently and stopping up all nails and scew holes with tinted plastic wood filler to match timber, unless otherwise described</t>
  </si>
  <si>
    <t>Prices for taking out and removing doors and frames shall include for removing door stops, cabin hooks, etc and making good to match existing</t>
  </si>
  <si>
    <t>With regard to building up openings in existing walls, cement screeds and pavings, granolithic, etc shall be levelled and prepared for the raising of brickwork</t>
  </si>
  <si>
    <t>Making good of finishes shall be deemed to include making good of the brick and concrete surfaces onto which the new finishes are applied, where necessary</t>
  </si>
  <si>
    <t>Pipes, etc</t>
  </si>
  <si>
    <t>Special care is to be taken not to interfere unnecessarily with any water supply pipes or other piping that may be met with and found necessary to disconnect or cut, are to be effectively stopped off and any new connections that may be necessary are to be made with proper fittings and to the satisfaction of the Project Manager to whom due notice must be given of any alterations to the existing services</t>
  </si>
  <si>
    <t>Protection</t>
  </si>
  <si>
    <t>In taking down and removing existing work the utmost care is to be observed to avoid any structural or other damage to the remaining portions of the buildings. The contractor must also protect all work not removed such as walls, floors, doors, windows or other joinery, loose and fixed fittings and electrical appliances, etc., from damage during the progress of the work and provide all necessary materials for so doing. The contractor will be held solely responsible for any damage to persons or property and for the safety of the structure throughout the whole of this contract and must make good at his own expense any damage that may occur</t>
  </si>
  <si>
    <t>Credits, etc</t>
  </si>
  <si>
    <t>Old materials from the pulling down (except such as are described to be re-used or handed over) are to become the property of the contractor who shall allow credit in his/her unit prices for the old material obtained. Old materials for re-use are to be carefully removed, stored and protected from injury including making good any damaged or defective parts as required before refixing. Old materials described to be handed over are to be carefully removed and neatly stacked on site where directed. The remainder of the old materials and all rubbish to be immediately carted away and the site left clean and unencumbered. None of the old stock bricks form the pulling down are to be re-used for any new work</t>
  </si>
  <si>
    <t>Materials, etc</t>
  </si>
  <si>
    <t>The materials to be used and work to be done to be similar in all respects to that described for new work insofar as they concur. All work in making good is to be properly jointed to the existing</t>
  </si>
  <si>
    <t>Repairing Stepdown CNC</t>
  </si>
  <si>
    <t>Front office</t>
  </si>
  <si>
    <t>Repair roof where it leaking and replace damaged sheeting</t>
  </si>
  <si>
    <t>cut and join front fiscial board</t>
  </si>
  <si>
    <t>m</t>
  </si>
  <si>
    <t xml:space="preserve">clean and prime steel gutters gutters </t>
  </si>
  <si>
    <t>paint 2 coats on fascial boards</t>
  </si>
  <si>
    <t>treating the building for mould as according to the scope</t>
  </si>
  <si>
    <t>sum</t>
  </si>
  <si>
    <t>Paint 2 coats Eskom approved spec PVA on interior walls  including door frames</t>
  </si>
  <si>
    <t xml:space="preserve">Paint 2 coats Eskom approved spec PVA on external walls </t>
  </si>
  <si>
    <t>Paint 2 coats Eskom approved spec PVA on the roof</t>
  </si>
  <si>
    <t>repairing the uneven floor in the boardroom</t>
  </si>
  <si>
    <t>supply and install a new blind at the server office on 2100x1200 window</t>
  </si>
  <si>
    <t>no</t>
  </si>
  <si>
    <t>Clean holes and replace existing ventilators with new one</t>
  </si>
  <si>
    <t>fill the small crack on the brick wall at the passage</t>
  </si>
  <si>
    <t>supply and install strip for door 1m</t>
  </si>
  <si>
    <t>Back office</t>
  </si>
  <si>
    <t>invistigate and Repair roof where it leaking/ apply bitimen when requered</t>
  </si>
  <si>
    <t xml:space="preserve">clean and prime gutters gutters </t>
  </si>
  <si>
    <t>apply bitumen on the roof edge/ valley</t>
  </si>
  <si>
    <t>replace a 2.65 rotten with a new wood column pole/ alternative approved by eskom</t>
  </si>
  <si>
    <t xml:space="preserve">paint wood horizontal and vertical verade column poles </t>
  </si>
  <si>
    <t>paint 2 coats on the back veranda floor</t>
  </si>
  <si>
    <t>plaster patches and cracks on the interior wall and paint</t>
  </si>
  <si>
    <t>Paint 2 coats Eskom approved spec PVA inside the male bathroom</t>
  </si>
  <si>
    <t>repairing the wooden uneven floor at the open area</t>
  </si>
  <si>
    <t>supply and install new blinds for 780x 1800mm window</t>
  </si>
  <si>
    <t>Guard house</t>
  </si>
  <si>
    <t xml:space="preserve">Paint 2 coats Eskom approved spec PVA on internal walls </t>
  </si>
  <si>
    <t xml:space="preserve">Remove the existing, supply and install new toilet </t>
  </si>
  <si>
    <t xml:space="preserve">window tinting </t>
  </si>
  <si>
    <t>sand down and apply a prime on the steel gate of 9.20 m x 2.34 m with 58 steel braces</t>
  </si>
  <si>
    <t xml:space="preserve">remove the existing toilets </t>
  </si>
  <si>
    <t xml:space="preserve">supply and install new toilet </t>
  </si>
  <si>
    <t>supply and install new p trap and joining pipes for the signle bowl sink</t>
  </si>
  <si>
    <t>Warehouse</t>
  </si>
  <si>
    <t xml:space="preserve">two coats paint on the steel for the verade </t>
  </si>
  <si>
    <t>prime the roller doors</t>
  </si>
  <si>
    <t xml:space="preserve">apply plaster on the steep </t>
  </si>
  <si>
    <t>Paint 2 coats Eskom approved spec PVA at the kitchen</t>
  </si>
  <si>
    <t>External</t>
  </si>
  <si>
    <t>make good of the existing pavement finishing</t>
  </si>
  <si>
    <t>dismattle and remove Thatch lapa of 9.1m X 5.6m</t>
  </si>
  <si>
    <t>make good the pause area with thatch or metal sheet less costly soluction to be applied</t>
  </si>
  <si>
    <t>paving the floor on the pause area</t>
  </si>
  <si>
    <t>external paint concrete tables and sittings</t>
  </si>
  <si>
    <t>supply external double light to be approved by eskom</t>
  </si>
  <si>
    <t>repair and paint the existing back gate</t>
  </si>
  <si>
    <t>repair the roof sheeting at the garage</t>
  </si>
  <si>
    <t>Subtotal</t>
  </si>
  <si>
    <t>replace the existig dry wall with the new one to be shifted to allow more space, include installing the existing door dry wall door - rate for Partitioning 2.8m high with bottom and top tracks</t>
  </si>
  <si>
    <t xml:space="preserve">replace the existig dry wall with the new one to be shifted to allow more space, include installing the existing door dry wall door - rate for
including 89mm natural anodised 'Drywall' aluminium
wall channel </t>
  </si>
  <si>
    <t>supply and install  600x600mm porcelain non-slippery floor tiles  for the office near admin</t>
  </si>
  <si>
    <t>km</t>
  </si>
  <si>
    <t>hr</t>
  </si>
  <si>
    <t>SUMMARY OF BILL OF QUANTITIES</t>
  </si>
  <si>
    <t>R</t>
  </si>
  <si>
    <t>Building works</t>
  </si>
  <si>
    <t xml:space="preserve">TOTAL </t>
  </si>
  <si>
    <t>External works</t>
  </si>
  <si>
    <t>TOTAL FOR BUILDING WORKS</t>
  </si>
  <si>
    <t>TOTAL FOR EXTERNAL WORKS</t>
  </si>
  <si>
    <t>Preliminaries&amp;General</t>
  </si>
  <si>
    <t>supply and install new strips for the open area door</t>
  </si>
  <si>
    <t>months</t>
  </si>
  <si>
    <t>Project duration is 9 months</t>
  </si>
  <si>
    <t xml:space="preserve">Minor repairs of the existing Winterveld and Mothutlung office area to accommodate Garankuwa and Mabopane employees. </t>
  </si>
  <si>
    <t>Project duration is 3 weeks, including overtime from 18h00 until 00h00</t>
  </si>
  <si>
    <t>Responsible person</t>
  </si>
  <si>
    <t>Day</t>
  </si>
  <si>
    <t>1.1.4</t>
  </si>
  <si>
    <t>Safety Officer</t>
  </si>
  <si>
    <t>1.2.3</t>
  </si>
  <si>
    <t>Quantity</t>
  </si>
  <si>
    <t>Conversion of Garankuwa Mabopane into open plan offices</t>
  </si>
  <si>
    <t>Outside Area</t>
  </si>
  <si>
    <t xml:space="preserve">Take out 2,3m diamond mesh fence </t>
  </si>
  <si>
    <t xml:space="preserve">Re-mark parking lines 18 spaces at 3m per line </t>
  </si>
  <si>
    <t>Sand down and paint under coat for steel 8 carport structure</t>
  </si>
  <si>
    <t>Paint 2 coats on  steel 8 carport structure</t>
  </si>
  <si>
    <t>Refurbish guard house (Ceiling)</t>
  </si>
  <si>
    <t>Refurbish guard house (Wall paint work)</t>
  </si>
  <si>
    <t>Refurbish guard house (Skirting)</t>
  </si>
  <si>
    <t>Supply and install paving bricks for parking area</t>
  </si>
  <si>
    <t>Office Area</t>
  </si>
  <si>
    <t>Service agent office</t>
  </si>
  <si>
    <t>Supply and install 18000 BTU air conditioner</t>
  </si>
  <si>
    <t>each</t>
  </si>
  <si>
    <t>Remove glass door</t>
  </si>
  <si>
    <t>No</t>
  </si>
  <si>
    <t xml:space="preserve">Supply and brick up the door opening. </t>
  </si>
  <si>
    <t xml:space="preserve">Sand down and paint primer and Paint 2 coats Eskom approved spec PVA on interior walls </t>
  </si>
  <si>
    <t xml:space="preserve">Sand down and paint primer and Paint 2 coats Eskom approved spec PVA on ceilings </t>
  </si>
  <si>
    <t>Replace ceiling panels</t>
  </si>
  <si>
    <t xml:space="preserve">Foyer sand down and paint primer and Paint 2 coats Eskom approved spec PVA on ceiings </t>
  </si>
  <si>
    <t>Repair cracked wall and paint</t>
  </si>
  <si>
    <t xml:space="preserve">Male and female toilet </t>
  </si>
  <si>
    <t>m2</t>
  </si>
  <si>
    <t>Remove and replace wall tiles</t>
  </si>
  <si>
    <t>Remove (2m*0.5*1) cabinet with granite top and 2 washing bays and replace with new.</t>
  </si>
  <si>
    <t>Remove old blinds and replace with new for 2x (0.5*0.5) windows</t>
  </si>
  <si>
    <t>Kitchen</t>
  </si>
  <si>
    <t>Remove and replace floor tiles</t>
  </si>
  <si>
    <t>Remove(2x0.5)m wall tiles</t>
  </si>
  <si>
    <t>Replace 2x (3x0.5) wall tiles</t>
  </si>
  <si>
    <t>Remove and replace (3*1.1*0.5)m kitchen cabinet with granite top and double sink and replace with new.</t>
  </si>
  <si>
    <t>Remove and replace (3*1.1*0.5)m kitchen cabinet with granite top and replace with new.</t>
  </si>
  <si>
    <t>Remove old blinds and replace with new for 2x (1.5*1.1) windows</t>
  </si>
  <si>
    <t>Replace a boom cabinet( 2X0.8)</t>
  </si>
  <si>
    <t>Room 5</t>
  </si>
  <si>
    <t xml:space="preserve">Sand down and paint primer and Paint 2 coats Eskom approved spec PVA on ceiings </t>
  </si>
  <si>
    <t>Varnish skirting</t>
  </si>
  <si>
    <t>Remove old blinds and replace with new for a (2*1.8) window</t>
  </si>
  <si>
    <t>Remove and replace carpert</t>
  </si>
  <si>
    <t>Room 6, Room 7 and Room 9</t>
  </si>
  <si>
    <t>Remove old blinds and replace with new for 3x (2*1.8) windows</t>
  </si>
  <si>
    <t>Replace  cornice</t>
  </si>
  <si>
    <t>Replace carpert</t>
  </si>
  <si>
    <t>Room 8</t>
  </si>
  <si>
    <t>Extra toilet</t>
  </si>
  <si>
    <t>Remove old blinds and replace with new for a (0.5*0.5) window</t>
  </si>
  <si>
    <t>Boardroom</t>
  </si>
  <si>
    <t>Room 11 and Room 12</t>
  </si>
  <si>
    <t>Remove old blinds and replace with new  for 2x *(2*1.8) windows</t>
  </si>
  <si>
    <t>Replace cornice</t>
  </si>
  <si>
    <t>Passage</t>
  </si>
  <si>
    <t>Waterproof</t>
  </si>
  <si>
    <t>Replace trap door</t>
  </si>
  <si>
    <t xml:space="preserve">Parkhome - </t>
  </si>
  <si>
    <t>Use the additional wall that was taken out to repair the holes in the walls of 500mm by 400mm</t>
  </si>
  <si>
    <t xml:space="preserve">Take out all old showers  and install a new toilet set </t>
  </si>
  <si>
    <t>Take out bathtub and replace with toilet set</t>
  </si>
  <si>
    <t>Replace toilet seats and flushing mechanisms</t>
  </si>
  <si>
    <t xml:space="preserve">Install 2 x ( 1.5x2)m 1.8 height partitioning dry wall </t>
  </si>
  <si>
    <t>Replace existing  window blinds 3x(1.2x1) +3x(1.5x1)+2(1X0.5)</t>
  </si>
  <si>
    <t xml:space="preserve">Replace light fittings and install LED flourescent 1500 lights and electrical DB and repair where necessary. </t>
  </si>
  <si>
    <t xml:space="preserve">Prepare ground and pave </t>
  </si>
  <si>
    <t>Supply and install taps(faucets) on existing sinks</t>
  </si>
  <si>
    <t>Repair existing kitchen cabinet</t>
  </si>
  <si>
    <t>Replace existing carpet at offices and passage</t>
  </si>
  <si>
    <t>Replace existing carpet at boardroom</t>
  </si>
  <si>
    <t xml:space="preserve">Supply and instal 12000BTU aircon at the offices </t>
  </si>
  <si>
    <t xml:space="preserve">Supply and install 18000BTU aircon for the boardroom </t>
  </si>
  <si>
    <t>Doors</t>
  </si>
  <si>
    <t>Supply and install four doors</t>
  </si>
  <si>
    <t>Replace all door mechanisms and supply keys</t>
  </si>
  <si>
    <t>Sundry Items</t>
  </si>
  <si>
    <t xml:space="preserve">Electrical </t>
  </si>
  <si>
    <t>Supply and install extractor fans</t>
  </si>
  <si>
    <t>COC certificate</t>
  </si>
  <si>
    <t>Supply and install  5 litre Hydroboil</t>
  </si>
  <si>
    <t xml:space="preserve">Supply and install inside office LED emergency lights </t>
  </si>
  <si>
    <t>Supply and install 100W heavy duty LED flood lights</t>
  </si>
  <si>
    <t>Plumbing</t>
  </si>
  <si>
    <t xml:space="preserve">Supply and install new PVC (110mm) pipeline (waste) </t>
  </si>
  <si>
    <t>10 x30 degree elbows</t>
  </si>
  <si>
    <t>12x90degree elbow</t>
  </si>
  <si>
    <t>10 x45 degree elbows</t>
  </si>
  <si>
    <t>4x breather pipes</t>
  </si>
  <si>
    <t>4x straight connectors</t>
  </si>
  <si>
    <t>4Xopen/shut water valves</t>
  </si>
  <si>
    <t>Supply and install new gully for kitchen</t>
  </si>
  <si>
    <t xml:space="preserve">Digging and recovering of all trenches </t>
  </si>
  <si>
    <t xml:space="preserve">Supply and install Double sink and sink mixer incl. all fittings including cabinet  </t>
  </si>
  <si>
    <t>SUB-TOTAL</t>
  </si>
  <si>
    <t>Main office</t>
  </si>
  <si>
    <t>Park home</t>
  </si>
  <si>
    <t>Sundries</t>
  </si>
  <si>
    <t>m²</t>
  </si>
  <si>
    <t>TOTAL</t>
  </si>
  <si>
    <t>MATHIBESTAD CNC HAMMANSKRAAL</t>
  </si>
  <si>
    <t>Every Invoice to be signed and verified by Quantity Surveyor for payment.</t>
  </si>
  <si>
    <t>Site Establishment</t>
  </si>
  <si>
    <t>Overheads for project (This includes Site Establishment Overhead Costs, Office Overheads, Administration Costs etc.) Total Labour Value</t>
  </si>
  <si>
    <t>%</t>
  </si>
  <si>
    <t>Health and Safety Management, OHSA appointments, PPE etc. Total Labour Value</t>
  </si>
  <si>
    <t>Quality &amp; Contract Management. Total Labour Value</t>
  </si>
  <si>
    <t>Environmental Management &amp; Site maintenance. Total Labour Value</t>
  </si>
  <si>
    <t>De-establishment &amp; Rehabilitation of Site</t>
  </si>
  <si>
    <t>Security</t>
  </si>
  <si>
    <t>Week</t>
  </si>
  <si>
    <t>Facilities for security (Guard house, toilet etc.)</t>
  </si>
  <si>
    <t>Month</t>
  </si>
  <si>
    <t>CLO (If required) (Max Value)</t>
  </si>
  <si>
    <t>Mobile Toilet</t>
  </si>
  <si>
    <t>Transport</t>
  </si>
  <si>
    <t>Personnel Transport for Staff</t>
  </si>
  <si>
    <t>LDV 4X4</t>
  </si>
  <si>
    <t>1</t>
  </si>
  <si>
    <t>2</t>
  </si>
  <si>
    <t>3</t>
  </si>
  <si>
    <t>4</t>
  </si>
  <si>
    <t>5</t>
  </si>
  <si>
    <t>6</t>
  </si>
  <si>
    <t>7</t>
  </si>
  <si>
    <t>8</t>
  </si>
  <si>
    <t>9</t>
  </si>
  <si>
    <t>10</t>
  </si>
  <si>
    <t>11</t>
  </si>
  <si>
    <t>12</t>
  </si>
  <si>
    <t>TEMPORARY BARRIERS, SCREENS, ETC</t>
  </si>
  <si>
    <t>Temporary barriers, screens, etc including removal</t>
  </si>
  <si>
    <t>Dust screen 3mm high between concrete floor and ceiling formed of suitable timber framing with 375 micron polyethylene sheeting stapled on including corners, ends, etc</t>
  </si>
  <si>
    <t>OFFICE 1 (Size 6,5m x 7m)</t>
  </si>
  <si>
    <t>Strip away cracked tiles</t>
  </si>
  <si>
    <t>Prepare surface and tile 600 x 600mm Porcelain tiles (semi-polished), fixed with and including an approved adhesive as per project Managers specification according to Eskom Specifications</t>
  </si>
  <si>
    <t>Supply and install skirting</t>
  </si>
  <si>
    <t>Paint skirtings with  Woodoc 25 Polyurethane Floor Sealer</t>
  </si>
  <si>
    <t>Strip down wall paint</t>
  </si>
  <si>
    <t>Fill crack on internal walls</t>
  </si>
  <si>
    <t>Paint one coat primer and finish with two coats  wall paint</t>
  </si>
  <si>
    <t>Sand down windows 1,8m x 1,5m</t>
  </si>
  <si>
    <t>Repaint of windows</t>
  </si>
  <si>
    <t>Supply and install Vertical fabric blinds, 50% polyester (core), 50% acrylic surface combined  with an equal weight of polymer. Colour: Classic blue to match the Eskom blue)according to Eskom Specifications 1,8m x 1,5m</t>
  </si>
  <si>
    <t>Remove old sliding door rail and replace with new rail</t>
  </si>
  <si>
    <t>Supply and install ceiling</t>
  </si>
  <si>
    <t>Paint one coat primer and finish with two coats ceiling and cornice paint</t>
  </si>
  <si>
    <t>Supply and install Cornice</t>
  </si>
  <si>
    <t>OFFICE 2 (Size 12m x 8m)</t>
  </si>
  <si>
    <t>Strip away carpet and underlay</t>
  </si>
  <si>
    <t>Remove old skirting 40m long and 0,2m wide</t>
  </si>
  <si>
    <t>Paint one coat primer and finish with two coats wall paint</t>
  </si>
  <si>
    <t>Remove old door, Supply and Install Solid Doors</t>
  </si>
  <si>
    <t xml:space="preserve">Supply and install new door  frame 2,2m x 0,90m </t>
  </si>
  <si>
    <t xml:space="preserve">Supply and install new door hindges </t>
  </si>
  <si>
    <t>Supply and install new door handles</t>
  </si>
  <si>
    <t>OFFICE 3 (Size 13m x 7,5m)</t>
  </si>
  <si>
    <t>Remove old skirting 41m long and 0,2m wide</t>
  </si>
  <si>
    <t>Remove and replace dry wall</t>
  </si>
  <si>
    <t>Plaster on internal walls (Cracks)</t>
  </si>
  <si>
    <t>Install counter tops for desks</t>
  </si>
  <si>
    <t>OFFICE 4 (Size 6,5m x 4m)</t>
  </si>
  <si>
    <t>Supply and install Vertical fabric blinds, 50% polyester (core), 50% acrylic surface combined  with an equal weight of polymer. Colour: Classic blue to match the Eskom blue)according to Eskom Specifications 2,5m x 2m</t>
  </si>
  <si>
    <t>Sand down doors 2,2m x 0,90m</t>
  </si>
  <si>
    <t>Repaint door</t>
  </si>
  <si>
    <t>OFFICE 5 (Size 6,5m x 4m)</t>
  </si>
  <si>
    <t>Remove sanitizer</t>
  </si>
  <si>
    <t>Server Room Size (6,5 x 4)</t>
  </si>
  <si>
    <t>OFFICE 6 (Size 6,5m x 5m)</t>
  </si>
  <si>
    <t>Sand down windows 2m x 2m</t>
  </si>
  <si>
    <t xml:space="preserve">Repaint buglar for window size 2m x 2m </t>
  </si>
  <si>
    <t>OFFICE 7 (Size 6m x 5m)</t>
  </si>
  <si>
    <t>Sand down buglar for windows 2m x 2m</t>
  </si>
  <si>
    <t xml:space="preserve">Repaint buglar for window 2m x 2m </t>
  </si>
  <si>
    <t>OFFICE 8 (Size 8m x 8m) Stores</t>
  </si>
  <si>
    <t>OFFICE 9 (Size 7m x 4m) Stores</t>
  </si>
  <si>
    <t>Store Room (Size 6m x 3m)</t>
  </si>
  <si>
    <t>Bathroom 1 &amp; 2 Size (1,5m x 3,5m)</t>
  </si>
  <si>
    <t>Breakout and remove existing basin, wall tiles, hand dryer, toilet paper holder, toilet, sanitizer</t>
  </si>
  <si>
    <t>Supply and Install Handwash basin with tap</t>
  </si>
  <si>
    <t>Supply and Install Toilet roll dispenser</t>
  </si>
  <si>
    <t>Supply and install Water closet</t>
  </si>
  <si>
    <t>Paraplegic water closet</t>
  </si>
  <si>
    <t>Handwash basin with tap</t>
  </si>
  <si>
    <t>Urinal</t>
  </si>
  <si>
    <t>Mirror</t>
  </si>
  <si>
    <t>Toilet roll dispenser</t>
  </si>
  <si>
    <t>Paraplegic Toilet roll dispenser</t>
  </si>
  <si>
    <t>Lockers</t>
  </si>
  <si>
    <t>Sitting benches</t>
  </si>
  <si>
    <t>Paraplegic Handwash basin with tap</t>
  </si>
  <si>
    <t>Extractor fan</t>
  </si>
  <si>
    <t>Sand down doors 2,2m x 0,95m</t>
  </si>
  <si>
    <t>Repaint doors size 2,2m x 0,95m</t>
  </si>
  <si>
    <t>Bathroom 3 Size (2m x 3m)</t>
  </si>
  <si>
    <t>Breakout and remove existing wall tiles</t>
  </si>
  <si>
    <t>Strip down wall paint &amp; plaster</t>
  </si>
  <si>
    <t>Fill up cracks on internal walls</t>
  </si>
  <si>
    <t>Paraplegic Bathroom Size (3m x 3m)</t>
  </si>
  <si>
    <t xml:space="preserve">Bathroom for males </t>
  </si>
  <si>
    <t>Sand down cornice</t>
  </si>
  <si>
    <t>Sand down ceiling paint</t>
  </si>
  <si>
    <t>Passage 1 Size (13m x 1,5m)</t>
  </si>
  <si>
    <t>Stop, fill, sand down and prepare wooden skirting surfaces and
apply one undercoat and two coats polyurethane
enamel pain</t>
  </si>
  <si>
    <t>Passage 2 Size (11,5m x 2m)</t>
  </si>
  <si>
    <t>Passage 3 Size (2m x 2m)</t>
  </si>
  <si>
    <t>Mini Kitchen Size (7m x 3,5m)</t>
  </si>
  <si>
    <t>External Walls</t>
  </si>
  <si>
    <t>Strip down wall paint and plaster</t>
  </si>
  <si>
    <t>Plaster on external walls (Cracks)</t>
  </si>
  <si>
    <t>SUNDRY ITEMS</t>
  </si>
  <si>
    <t>Take out all the old lights and replace with 1200mm ballast light</t>
  </si>
  <si>
    <t>Supply and replace all CBI 1Lever 2Way Switch - White</t>
  </si>
  <si>
    <t>Allow a budgetary allowance for electrical configurations to be expended / not expended as directed by the Project Manager including the COC certificate</t>
  </si>
  <si>
    <t>Allow a budgetary allowance for Plumbing to be expended / not expended as directed by the Project Manager</t>
  </si>
  <si>
    <t>Stop, fill, sand down and prepare wooden skirting surfaces and apply one undercoat and two coats polyurethane enamel pain</t>
  </si>
  <si>
    <t>3.33.</t>
  </si>
  <si>
    <t>ADD</t>
  </si>
  <si>
    <t>VAT @ 15%</t>
  </si>
  <si>
    <t>TOTAL CARRIED TO FORM OF OFFER</t>
  </si>
  <si>
    <t>…………………………………………………………………..</t>
  </si>
  <si>
    <t>……………………………………..</t>
  </si>
  <si>
    <t>SIGNATURE OF TENDERER</t>
  </si>
  <si>
    <t>DATE</t>
  </si>
  <si>
    <t>NAME OF TENDERER</t>
  </si>
  <si>
    <t>DESIGNATION</t>
  </si>
  <si>
    <r>
      <t>m</t>
    </r>
    <r>
      <rPr>
        <vertAlign val="superscript"/>
        <sz val="10"/>
        <rFont val="Arial  "/>
      </rPr>
      <t>2</t>
    </r>
  </si>
  <si>
    <r>
      <t>replace ceiling on the showers</t>
    </r>
    <r>
      <rPr>
        <sz val="10"/>
        <color rgb="FFFF0000"/>
        <rFont val="Arial  "/>
      </rPr>
      <t xml:space="preserve"> (4mm )</t>
    </r>
  </si>
  <si>
    <r>
      <t xml:space="preserve">Remove and replace </t>
    </r>
    <r>
      <rPr>
        <sz val="10"/>
        <color rgb="FFFF0000"/>
        <rFont val="Arial  "/>
      </rPr>
      <t>wall</t>
    </r>
    <r>
      <rPr>
        <sz val="10"/>
        <color theme="1"/>
        <rFont val="Arial  "/>
      </rPr>
      <t xml:space="preserve"> tiles</t>
    </r>
  </si>
  <si>
    <r>
      <t>m</t>
    </r>
    <r>
      <rPr>
        <vertAlign val="superscript"/>
        <sz val="10"/>
        <rFont val="Arial  "/>
      </rPr>
      <t>3</t>
    </r>
  </si>
  <si>
    <r>
      <t xml:space="preserve">Replace and </t>
    </r>
    <r>
      <rPr>
        <sz val="10"/>
        <color rgb="FFFF0000"/>
        <rFont val="Arial  "/>
      </rPr>
      <t>varnish</t>
    </r>
    <r>
      <rPr>
        <sz val="10"/>
        <color theme="1"/>
        <rFont val="Arial  "/>
      </rPr>
      <t xml:space="preserve"> skirting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</si>
</sst>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R-1C09]\ * #,##0.00_ ;_ [$R-1C09]\ * \-#,##0.00_ ;_ [$R-1C09]\ * &quot;-&quot;??_ ;_ @_ "/>
    <numFmt numFmtId="165" formatCode="&quot;R&quot;#,##0.00"/>
    <numFmt numFmtId="166" formatCode="_ * #,##0.00_ ;_ * \-#,##0.00_ ;_ * &quot;-&quot;??_ ;_ @_ "/>
    <numFmt numFmtId="167" formatCode="_(* #,##0_);_(* \(#,##0\);_(* \-??_);_(@_)"/>
    <numFmt numFmtId="168" formatCode="0.0"/>
    <numFmt numFmtId="169" formatCode="_ &quot;R&quot;\ * #,##0.00_ ;_ &quot;R&quot;\ * \-#,##0.00_ ;_ &quot;R&quot;\ * &quot;-&quot;??_ ;_ @_ "/>
    <numFmt numFmtId="170" formatCode="_-* #,##0_-;\-* #,##0_-;_-* &quot;-&quot;??_-;_-@_-"/>
    <numFmt numFmtId="171" formatCode="_(&quot;R&quot;* #,##0.00_);_(&quot;R&quot;* \(#,##0.00\);_(&quot;R&quot;* &quot;-&quot;??_);_(@_)"/>
  </numFmts>
  <fonts count="29">
    <font>
      <sz val="11"/>
      <color theme="1"/>
      <name val="Calibri"/>
      <family val="2"/>
      <scheme val="minor"/>
    </font>
    <font>
      <sz val="11"/>
      <color theme="1"/>
      <name val="Calibri"/>
      <family val="2"/>
      <scheme val="minor"/>
    </font>
    <font>
      <sz val="10"/>
      <name val="Arial"/>
      <family val="2"/>
    </font>
    <font>
      <sz val="11"/>
      <color indexed="8"/>
      <name val="Calibri"/>
      <family val="2"/>
    </font>
    <font>
      <b/>
      <sz val="9"/>
      <color indexed="81"/>
      <name val="Tahoma"/>
      <family val="2"/>
    </font>
    <font>
      <sz val="9"/>
      <color indexed="81"/>
      <name val="Tahoma"/>
      <family val="2"/>
    </font>
    <font>
      <b/>
      <sz val="10"/>
      <name val="Arial"/>
      <family val="2"/>
    </font>
    <font>
      <sz val="10"/>
      <color rgb="FFFF0000"/>
      <name val="Arial"/>
      <family val="2"/>
    </font>
    <font>
      <sz val="10"/>
      <color theme="1"/>
      <name val="Arial"/>
      <family val="2"/>
    </font>
    <font>
      <b/>
      <sz val="10"/>
      <color indexed="8"/>
      <name val="Arial"/>
      <family val="2"/>
    </font>
    <font>
      <sz val="10"/>
      <color indexed="8"/>
      <name val="Arial"/>
      <family val="2"/>
    </font>
    <font>
      <b/>
      <sz val="10"/>
      <color theme="1"/>
      <name val="Arial"/>
      <family val="2"/>
    </font>
    <font>
      <b/>
      <sz val="10"/>
      <color rgb="FFFF0000"/>
      <name val="Arial"/>
      <family val="2"/>
    </font>
    <font>
      <b/>
      <sz val="10"/>
      <name val="Arial  "/>
    </font>
    <font>
      <sz val="10"/>
      <color rgb="FFFF0000"/>
      <name val="Arial  "/>
    </font>
    <font>
      <sz val="10"/>
      <color theme="1"/>
      <name val="Arial  "/>
    </font>
    <font>
      <b/>
      <sz val="10"/>
      <color indexed="8"/>
      <name val="Arial  "/>
    </font>
    <font>
      <b/>
      <sz val="10"/>
      <color theme="1"/>
      <name val="Arial  "/>
    </font>
    <font>
      <b/>
      <sz val="10"/>
      <color rgb="FFFF0000"/>
      <name val="Arial  "/>
    </font>
    <font>
      <sz val="10"/>
      <color indexed="8"/>
      <name val="Arial  "/>
    </font>
    <font>
      <b/>
      <u/>
      <sz val="10"/>
      <color indexed="8"/>
      <name val="Arial  "/>
    </font>
    <font>
      <b/>
      <u/>
      <sz val="10"/>
      <color rgb="FFFF0000"/>
      <name val="Arial  "/>
    </font>
    <font>
      <b/>
      <u/>
      <sz val="10"/>
      <color theme="1"/>
      <name val="Arial  "/>
    </font>
    <font>
      <sz val="10"/>
      <name val="Arial  "/>
    </font>
    <font>
      <vertAlign val="superscript"/>
      <sz val="10"/>
      <name val="Arial  "/>
    </font>
    <font>
      <b/>
      <sz val="14"/>
      <name val="Arial"/>
      <family val="2"/>
    </font>
    <font>
      <sz val="9"/>
      <name val="Arial"/>
      <family val="2"/>
    </font>
    <font>
      <b/>
      <sz val="9"/>
      <name val="Arial"/>
      <family val="2"/>
    </font>
    <font>
      <b/>
      <i/>
      <sz val="10"/>
      <name val="Arial"/>
      <family val="2"/>
    </font>
  </fonts>
  <fills count="2">
    <fill>
      <patternFill patternType="none"/>
    </fill>
    <fill>
      <patternFill patternType="gray125"/>
    </fill>
  </fills>
  <borders count="5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thin">
        <color indexed="64"/>
      </left>
      <right/>
      <top/>
      <bottom/>
      <diagonal/>
    </border>
    <border>
      <left style="medium">
        <color indexed="64"/>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diagonal/>
    </border>
    <border>
      <left style="thin">
        <color indexed="64"/>
      </left>
      <right style="medium">
        <color indexed="64"/>
      </right>
      <top/>
      <bottom/>
      <diagonal/>
    </border>
    <border>
      <left/>
      <right style="thin">
        <color auto="1"/>
      </right>
      <top style="thin">
        <color auto="1"/>
      </top>
      <bottom style="thin">
        <color auto="1"/>
      </bottom>
      <diagonal/>
    </border>
    <border>
      <left/>
      <right style="thin">
        <color auto="1"/>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medium">
        <color indexed="64"/>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style="thin">
        <color auto="1"/>
      </bottom>
      <diagonal/>
    </border>
    <border>
      <left style="medium">
        <color indexed="64"/>
      </left>
      <right style="thin">
        <color auto="1"/>
      </right>
      <top/>
      <bottom/>
      <diagonal/>
    </border>
    <border>
      <left/>
      <right style="thin">
        <color indexed="64"/>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10">
    <xf numFmtId="0" fontId="0" fillId="0" borderId="0"/>
    <xf numFmtId="43" fontId="1" fillId="0" borderId="0" applyFont="0" applyFill="0" applyBorder="0" applyAlignment="0" applyProtection="0"/>
    <xf numFmtId="164" fontId="2" fillId="0" borderId="0"/>
    <xf numFmtId="0" fontId="1" fillId="0" borderId="0"/>
    <xf numFmtId="166" fontId="3" fillId="0" borderId="0" applyFont="0" applyFill="0" applyBorder="0" applyAlignment="0" applyProtection="0"/>
    <xf numFmtId="0" fontId="1" fillId="0" borderId="0"/>
    <xf numFmtId="0" fontId="2" fillId="0" borderId="0"/>
    <xf numFmtId="166" fontId="2" fillId="0" borderId="0" applyFont="0" applyFill="0" applyBorder="0" applyAlignment="0" applyProtection="0"/>
    <xf numFmtId="171" fontId="1" fillId="0" borderId="0" applyFont="0" applyFill="0" applyBorder="0" applyAlignment="0" applyProtection="0"/>
    <xf numFmtId="9" fontId="1" fillId="0" borderId="0" applyFont="0" applyFill="0" applyBorder="0" applyAlignment="0" applyProtection="0"/>
  </cellStyleXfs>
  <cellXfs count="347">
    <xf numFmtId="0" fontId="0" fillId="0" borderId="0" xfId="0"/>
    <xf numFmtId="0" fontId="7" fillId="0" borderId="0" xfId="3" applyFont="1"/>
    <xf numFmtId="0" fontId="8" fillId="0" borderId="0" xfId="3" applyFont="1"/>
    <xf numFmtId="164" fontId="6" fillId="0" borderId="16" xfId="2" applyFont="1" applyBorder="1" applyAlignment="1">
      <alignment horizontal="left" vertical="top"/>
    </xf>
    <xf numFmtId="164" fontId="6" fillId="0" borderId="12" xfId="2" applyFont="1" applyBorder="1" applyAlignment="1">
      <alignment vertical="top"/>
    </xf>
    <xf numFmtId="164" fontId="6" fillId="0" borderId="1" xfId="2" applyFont="1" applyBorder="1" applyAlignment="1">
      <alignment vertical="top"/>
    </xf>
    <xf numFmtId="49" fontId="6" fillId="0" borderId="12" xfId="3" applyNumberFormat="1" applyFont="1" applyBorder="1" applyAlignment="1">
      <alignment horizontal="center" vertical="center" wrapText="1"/>
    </xf>
    <xf numFmtId="49" fontId="6" fillId="0" borderId="1" xfId="3" applyNumberFormat="1" applyFont="1" applyBorder="1" applyAlignment="1">
      <alignment horizontal="center" vertical="center" wrapText="1"/>
    </xf>
    <xf numFmtId="1" fontId="6" fillId="0" borderId="1" xfId="3" applyNumberFormat="1" applyFont="1" applyBorder="1" applyAlignment="1">
      <alignment horizontal="center" vertical="center" wrapText="1"/>
    </xf>
    <xf numFmtId="165" fontId="9" fillId="0" borderId="1" xfId="4" applyNumberFormat="1" applyFont="1" applyBorder="1" applyAlignment="1">
      <alignment horizontal="center" vertical="center"/>
    </xf>
    <xf numFmtId="43" fontId="9" fillId="0" borderId="26" xfId="1" applyFont="1" applyBorder="1" applyAlignment="1">
      <alignment horizontal="center" vertical="center"/>
    </xf>
    <xf numFmtId="49" fontId="6" fillId="0" borderId="12" xfId="3" applyNumberFormat="1" applyFont="1" applyBorder="1" applyAlignment="1">
      <alignment horizontal="center" vertical="top" wrapText="1"/>
    </xf>
    <xf numFmtId="49" fontId="2" fillId="0" borderId="1" xfId="3" applyNumberFormat="1" applyFont="1" applyBorder="1" applyAlignment="1">
      <alignment horizontal="center" vertical="top" wrapText="1"/>
    </xf>
    <xf numFmtId="1" fontId="2" fillId="0" borderId="1" xfId="3" applyNumberFormat="1" applyFont="1" applyBorder="1" applyAlignment="1">
      <alignment horizontal="center" vertical="top" wrapText="1"/>
    </xf>
    <xf numFmtId="165" fontId="8" fillId="0" borderId="1" xfId="3" applyNumberFormat="1" applyFont="1" applyBorder="1"/>
    <xf numFmtId="43" fontId="8" fillId="0" borderId="26" xfId="1" applyFont="1" applyBorder="1"/>
    <xf numFmtId="49" fontId="6" fillId="0" borderId="1" xfId="3" applyNumberFormat="1" applyFont="1" applyBorder="1" applyAlignment="1">
      <alignment horizontal="left" vertical="center" wrapText="1"/>
    </xf>
    <xf numFmtId="49" fontId="2" fillId="0" borderId="12" xfId="3" applyNumberFormat="1" applyFont="1" applyBorder="1" applyAlignment="1">
      <alignment horizontal="center" vertical="top" wrapText="1"/>
    </xf>
    <xf numFmtId="0" fontId="2" fillId="0" borderId="1" xfId="3" applyFont="1" applyBorder="1" applyAlignment="1">
      <alignment horizontal="left" vertical="top" wrapText="1" indent="2"/>
    </xf>
    <xf numFmtId="0" fontId="2" fillId="0" borderId="1" xfId="3" applyFont="1" applyBorder="1" applyAlignment="1">
      <alignment horizontal="center"/>
    </xf>
    <xf numFmtId="1" fontId="2" fillId="0" borderId="1" xfId="3" applyNumberFormat="1" applyFont="1" applyBorder="1" applyAlignment="1">
      <alignment horizontal="center"/>
    </xf>
    <xf numFmtId="0" fontId="7" fillId="0" borderId="0" xfId="3" applyFont="1" applyAlignment="1">
      <alignment horizontal="right"/>
    </xf>
    <xf numFmtId="164" fontId="6" fillId="0" borderId="1" xfId="3" applyNumberFormat="1" applyFont="1" applyBorder="1" applyAlignment="1">
      <alignment horizontal="left" vertical="top" wrapText="1" indent="1"/>
    </xf>
    <xf numFmtId="49" fontId="2" fillId="0" borderId="1" xfId="3" applyNumberFormat="1" applyFont="1" applyBorder="1" applyAlignment="1">
      <alignment horizontal="center" wrapText="1"/>
    </xf>
    <xf numFmtId="1" fontId="2" fillId="0" borderId="1" xfId="3" applyNumberFormat="1" applyFont="1" applyBorder="1" applyAlignment="1">
      <alignment horizontal="center" wrapText="1"/>
    </xf>
    <xf numFmtId="43" fontId="7" fillId="0" borderId="0" xfId="1" applyFont="1" applyFill="1"/>
    <xf numFmtId="43" fontId="7" fillId="0" borderId="0" xfId="3" applyNumberFormat="1" applyFont="1"/>
    <xf numFmtId="164" fontId="6" fillId="0" borderId="1" xfId="3" applyNumberFormat="1" applyFont="1" applyBorder="1" applyAlignment="1">
      <alignment horizontal="left" vertical="top" wrapText="1" indent="3"/>
    </xf>
    <xf numFmtId="170" fontId="8" fillId="0" borderId="0" xfId="3" applyNumberFormat="1" applyFont="1"/>
    <xf numFmtId="164" fontId="10" fillId="0" borderId="1" xfId="3" applyNumberFormat="1" applyFont="1" applyBorder="1" applyAlignment="1">
      <alignment vertical="top"/>
    </xf>
    <xf numFmtId="43" fontId="8" fillId="0" borderId="0" xfId="3" applyNumberFormat="1" applyFont="1"/>
    <xf numFmtId="164" fontId="2" fillId="0" borderId="1" xfId="3" applyNumberFormat="1" applyFont="1" applyBorder="1" applyAlignment="1">
      <alignment vertical="top" wrapText="1"/>
    </xf>
    <xf numFmtId="164" fontId="2" fillId="0" borderId="1" xfId="3" applyNumberFormat="1" applyFont="1" applyBorder="1" applyAlignment="1">
      <alignment horizontal="left" vertical="top" wrapText="1" indent="2"/>
    </xf>
    <xf numFmtId="49" fontId="6" fillId="0" borderId="19" xfId="3" applyNumberFormat="1" applyFont="1" applyBorder="1" applyAlignment="1">
      <alignment horizontal="center" vertical="top" wrapText="1"/>
    </xf>
    <xf numFmtId="164" fontId="6" fillId="0" borderId="20" xfId="3" applyNumberFormat="1" applyFont="1" applyBorder="1" applyAlignment="1">
      <alignment horizontal="left" vertical="top" wrapText="1" indent="1"/>
    </xf>
    <xf numFmtId="49" fontId="6" fillId="0" borderId="20" xfId="3" applyNumberFormat="1" applyFont="1" applyBorder="1" applyAlignment="1">
      <alignment horizontal="center" wrapText="1"/>
    </xf>
    <xf numFmtId="1" fontId="6" fillId="0" borderId="20" xfId="3" applyNumberFormat="1" applyFont="1" applyBorder="1" applyAlignment="1">
      <alignment horizontal="center" wrapText="1"/>
    </xf>
    <xf numFmtId="165" fontId="11" fillId="0" borderId="20" xfId="3" applyNumberFormat="1" applyFont="1" applyBorder="1"/>
    <xf numFmtId="43" fontId="11" fillId="0" borderId="27" xfId="1" applyFont="1" applyBorder="1"/>
    <xf numFmtId="0" fontId="12" fillId="0" borderId="0" xfId="3" applyFont="1"/>
    <xf numFmtId="43" fontId="11" fillId="0" borderId="0" xfId="3" applyNumberFormat="1" applyFont="1"/>
    <xf numFmtId="0" fontId="11" fillId="0" borderId="0" xfId="3" applyFont="1"/>
    <xf numFmtId="49" fontId="8" fillId="0" borderId="0" xfId="3" applyNumberFormat="1" applyFont="1" applyAlignment="1">
      <alignment vertical="top"/>
    </xf>
    <xf numFmtId="165" fontId="8" fillId="0" borderId="0" xfId="3" applyNumberFormat="1" applyFont="1"/>
    <xf numFmtId="43" fontId="8" fillId="0" borderId="0" xfId="1" applyFont="1"/>
    <xf numFmtId="164" fontId="6" fillId="0" borderId="9" xfId="2" applyFont="1" applyBorder="1" applyAlignment="1">
      <alignment horizontal="left" vertical="top"/>
    </xf>
    <xf numFmtId="164" fontId="6" fillId="0" borderId="1" xfId="8" applyNumberFormat="1" applyFont="1" applyFill="1" applyBorder="1" applyAlignment="1">
      <alignment horizontal="center" vertical="center" wrapText="1"/>
    </xf>
    <xf numFmtId="164" fontId="2" fillId="0" borderId="1" xfId="8" applyNumberFormat="1" applyFont="1" applyFill="1" applyBorder="1" applyAlignment="1">
      <alignment horizontal="center" vertical="top" wrapText="1"/>
    </xf>
    <xf numFmtId="164" fontId="2" fillId="0" borderId="1" xfId="8" applyNumberFormat="1" applyFont="1" applyFill="1" applyBorder="1" applyAlignment="1">
      <alignment horizontal="center" wrapText="1"/>
    </xf>
    <xf numFmtId="49" fontId="2" fillId="0" borderId="13" xfId="3" applyNumberFormat="1" applyFont="1" applyBorder="1" applyAlignment="1">
      <alignment horizontal="center" vertical="top" wrapText="1"/>
    </xf>
    <xf numFmtId="0" fontId="2" fillId="0" borderId="2" xfId="3" applyFont="1" applyBorder="1" applyAlignment="1">
      <alignment horizontal="left" vertical="top" wrapText="1" indent="2"/>
    </xf>
    <xf numFmtId="49" fontId="2" fillId="0" borderId="2" xfId="3" applyNumberFormat="1" applyFont="1" applyBorder="1" applyAlignment="1">
      <alignment horizontal="center" wrapText="1"/>
    </xf>
    <xf numFmtId="1" fontId="2" fillId="0" borderId="2" xfId="3" applyNumberFormat="1" applyFont="1" applyBorder="1" applyAlignment="1">
      <alignment horizontal="center" wrapText="1"/>
    </xf>
    <xf numFmtId="164" fontId="2" fillId="0" borderId="2" xfId="8" applyNumberFormat="1" applyFont="1" applyFill="1" applyBorder="1" applyAlignment="1">
      <alignment horizontal="center" vertical="top" wrapText="1"/>
    </xf>
    <xf numFmtId="43" fontId="8" fillId="0" borderId="29" xfId="1" applyFont="1" applyBorder="1"/>
    <xf numFmtId="49" fontId="6" fillId="0" borderId="5" xfId="3" applyNumberFormat="1" applyFont="1" applyBorder="1" applyAlignment="1">
      <alignment horizontal="center" vertical="top" wrapText="1"/>
    </xf>
    <xf numFmtId="164" fontId="6" fillId="0" borderId="6" xfId="3" applyNumberFormat="1" applyFont="1" applyBorder="1" applyAlignment="1">
      <alignment horizontal="left" vertical="top" wrapText="1" indent="1"/>
    </xf>
    <xf numFmtId="49" fontId="2" fillId="0" borderId="6" xfId="3" applyNumberFormat="1" applyFont="1" applyBorder="1" applyAlignment="1">
      <alignment horizontal="center" wrapText="1"/>
    </xf>
    <xf numFmtId="1" fontId="2" fillId="0" borderId="6" xfId="3" applyNumberFormat="1" applyFont="1" applyBorder="1" applyAlignment="1">
      <alignment horizontal="center" wrapText="1"/>
    </xf>
    <xf numFmtId="164" fontId="2" fillId="0" borderId="6" xfId="8" applyNumberFormat="1" applyFont="1" applyFill="1" applyBorder="1" applyAlignment="1">
      <alignment horizontal="center" wrapText="1"/>
    </xf>
    <xf numFmtId="43" fontId="11" fillId="0" borderId="8" xfId="1" applyFont="1" applyBorder="1"/>
    <xf numFmtId="49" fontId="8" fillId="0" borderId="12" xfId="3" applyNumberFormat="1" applyFont="1" applyBorder="1" applyAlignment="1">
      <alignment vertical="top"/>
    </xf>
    <xf numFmtId="0" fontId="8" fillId="0" borderId="1" xfId="3" applyFont="1" applyBorder="1"/>
    <xf numFmtId="49" fontId="8" fillId="0" borderId="12" xfId="3" applyNumberFormat="1" applyFont="1" applyBorder="1" applyAlignment="1">
      <alignment horizontal="center"/>
    </xf>
    <xf numFmtId="0" fontId="11" fillId="0" borderId="1" xfId="3" applyFont="1" applyBorder="1" applyAlignment="1">
      <alignment wrapText="1"/>
    </xf>
    <xf numFmtId="0" fontId="11" fillId="0" borderId="1" xfId="3" applyFont="1" applyBorder="1"/>
    <xf numFmtId="0" fontId="8" fillId="0" borderId="1" xfId="3" applyFont="1" applyBorder="1" applyAlignment="1">
      <alignment wrapText="1"/>
    </xf>
    <xf numFmtId="0" fontId="8" fillId="0" borderId="1" xfId="3" applyFont="1" applyBorder="1" applyAlignment="1">
      <alignment horizontal="center"/>
    </xf>
    <xf numFmtId="1" fontId="8" fillId="0" borderId="1" xfId="3" applyNumberFormat="1" applyFont="1" applyBorder="1"/>
    <xf numFmtId="9" fontId="8" fillId="0" borderId="1" xfId="9" applyFont="1" applyFill="1" applyBorder="1" applyAlignment="1">
      <alignment horizontal="center"/>
    </xf>
    <xf numFmtId="43" fontId="8" fillId="0" borderId="26" xfId="1" applyFont="1" applyFill="1" applyBorder="1"/>
    <xf numFmtId="49" fontId="8" fillId="0" borderId="13" xfId="3" applyNumberFormat="1" applyFont="1" applyBorder="1" applyAlignment="1">
      <alignment horizontal="center"/>
    </xf>
    <xf numFmtId="0" fontId="8" fillId="0" borderId="2" xfId="3" applyFont="1" applyBorder="1"/>
    <xf numFmtId="0" fontId="8" fillId="0" borderId="2" xfId="3" applyFont="1" applyBorder="1" applyAlignment="1">
      <alignment horizontal="center"/>
    </xf>
    <xf numFmtId="1" fontId="8" fillId="0" borderId="2" xfId="3" applyNumberFormat="1" applyFont="1" applyBorder="1"/>
    <xf numFmtId="165" fontId="8" fillId="0" borderId="2" xfId="3" applyNumberFormat="1" applyFont="1" applyBorder="1"/>
    <xf numFmtId="49" fontId="8" fillId="0" borderId="5" xfId="3" applyNumberFormat="1" applyFont="1" applyBorder="1" applyAlignment="1">
      <alignment vertical="top"/>
    </xf>
    <xf numFmtId="0" fontId="11" fillId="0" borderId="6" xfId="3" applyFont="1" applyBorder="1"/>
    <xf numFmtId="0" fontId="8" fillId="0" borderId="6" xfId="3" applyFont="1" applyBorder="1"/>
    <xf numFmtId="165" fontId="8" fillId="0" borderId="6" xfId="3" applyNumberFormat="1" applyFont="1" applyBorder="1"/>
    <xf numFmtId="43" fontId="8" fillId="0" borderId="8" xfId="1" applyFont="1" applyBorder="1"/>
    <xf numFmtId="167" fontId="16" fillId="0" borderId="38" xfId="5" applyNumberFormat="1" applyFont="1" applyBorder="1" applyAlignment="1">
      <alignment horizontal="center" vertical="center"/>
    </xf>
    <xf numFmtId="0" fontId="16" fillId="0" borderId="5" xfId="5" applyFont="1" applyBorder="1" applyAlignment="1">
      <alignment horizontal="center" vertical="center"/>
    </xf>
    <xf numFmtId="166" fontId="16" fillId="0" borderId="6" xfId="4" applyFont="1" applyFill="1" applyBorder="1" applyAlignment="1">
      <alignment horizontal="center" vertical="center" wrapText="1"/>
    </xf>
    <xf numFmtId="2" fontId="16" fillId="0" borderId="7" xfId="1" applyNumberFormat="1" applyFont="1" applyFill="1" applyBorder="1" applyAlignment="1">
      <alignment horizontal="center" vertical="center"/>
    </xf>
    <xf numFmtId="43" fontId="17" fillId="0" borderId="7" xfId="1" applyFont="1" applyFill="1" applyBorder="1"/>
    <xf numFmtId="43" fontId="17" fillId="0" borderId="8" xfId="1" applyFont="1" applyFill="1" applyBorder="1"/>
    <xf numFmtId="0" fontId="18" fillId="0" borderId="0" xfId="5" applyFont="1" applyAlignment="1">
      <alignment horizontal="center" vertical="center"/>
    </xf>
    <xf numFmtId="0" fontId="17" fillId="0" borderId="0" xfId="0" applyFont="1"/>
    <xf numFmtId="167" fontId="19" fillId="0" borderId="11" xfId="4" applyNumberFormat="1" applyFont="1" applyFill="1" applyBorder="1" applyAlignment="1" applyProtection="1">
      <alignment horizontal="center" vertical="center"/>
    </xf>
    <xf numFmtId="0" fontId="16" fillId="0" borderId="9" xfId="5" applyFont="1" applyBorder="1" applyAlignment="1">
      <alignment horizontal="center" vertical="center"/>
    </xf>
    <xf numFmtId="166" fontId="16" fillId="0" borderId="10" xfId="4" applyFont="1" applyFill="1" applyBorder="1" applyAlignment="1">
      <alignment horizontal="center" vertical="center" wrapText="1"/>
    </xf>
    <xf numFmtId="2" fontId="16" fillId="0" borderId="11" xfId="1" applyNumberFormat="1" applyFont="1" applyFill="1" applyBorder="1" applyAlignment="1">
      <alignment horizontal="center" vertical="center"/>
    </xf>
    <xf numFmtId="43" fontId="15" fillId="0" borderId="11" xfId="1" applyFont="1" applyFill="1" applyBorder="1"/>
    <xf numFmtId="43" fontId="15" fillId="0" borderId="28" xfId="1" applyFont="1" applyFill="1" applyBorder="1"/>
    <xf numFmtId="0" fontId="15" fillId="0" borderId="0" xfId="0" applyFont="1"/>
    <xf numFmtId="167" fontId="19" fillId="0" borderId="4" xfId="4" applyNumberFormat="1" applyFont="1" applyFill="1" applyBorder="1" applyAlignment="1" applyProtection="1">
      <alignment horizontal="center" vertical="center"/>
    </xf>
    <xf numFmtId="0" fontId="13" fillId="0" borderId="12" xfId="0" applyFont="1" applyBorder="1" applyAlignment="1">
      <alignment vertical="center"/>
    </xf>
    <xf numFmtId="0" fontId="13" fillId="0" borderId="1" xfId="0" applyFont="1" applyBorder="1" applyAlignment="1">
      <alignment horizontal="center" vertical="center"/>
    </xf>
    <xf numFmtId="2" fontId="13" fillId="0" borderId="4" xfId="1" applyNumberFormat="1" applyFont="1" applyFill="1" applyBorder="1" applyAlignment="1">
      <alignment horizontal="center" vertical="center"/>
    </xf>
    <xf numFmtId="43" fontId="15" fillId="0" borderId="4" xfId="1" applyFont="1" applyFill="1" applyBorder="1"/>
    <xf numFmtId="43" fontId="15" fillId="0" borderId="26" xfId="1" applyFont="1" applyFill="1" applyBorder="1"/>
    <xf numFmtId="0" fontId="18" fillId="0" borderId="0" xfId="0" applyFont="1" applyAlignment="1">
      <alignment vertical="center"/>
    </xf>
    <xf numFmtId="0" fontId="20" fillId="0" borderId="12" xfId="0" applyFont="1" applyBorder="1"/>
    <xf numFmtId="0" fontId="21" fillId="0" borderId="0" xfId="0" applyFont="1"/>
    <xf numFmtId="0" fontId="20" fillId="0" borderId="12" xfId="0" applyFont="1" applyBorder="1" applyAlignment="1">
      <alignment wrapText="1"/>
    </xf>
    <xf numFmtId="0" fontId="21" fillId="0" borderId="0" xfId="0" applyFont="1" applyAlignment="1">
      <alignment wrapText="1"/>
    </xf>
    <xf numFmtId="0" fontId="19" fillId="0" borderId="12" xfId="0" applyFont="1" applyBorder="1" applyAlignment="1">
      <alignment wrapText="1"/>
    </xf>
    <xf numFmtId="0" fontId="14" fillId="0" borderId="0" xfId="0" applyFont="1" applyAlignment="1">
      <alignment wrapText="1"/>
    </xf>
    <xf numFmtId="0" fontId="19" fillId="0" borderId="12" xfId="0" applyFont="1" applyBorder="1" applyAlignment="1">
      <alignment vertical="top" wrapText="1"/>
    </xf>
    <xf numFmtId="0" fontId="14" fillId="0" borderId="0" xfId="0" applyFont="1" applyAlignment="1">
      <alignment vertical="top" wrapText="1"/>
    </xf>
    <xf numFmtId="0" fontId="15" fillId="0" borderId="11" xfId="0" applyFont="1" applyBorder="1" applyAlignment="1">
      <alignment horizontal="center" vertical="center"/>
    </xf>
    <xf numFmtId="0" fontId="22" fillId="0" borderId="9" xfId="0" applyFont="1" applyBorder="1"/>
    <xf numFmtId="0" fontId="15" fillId="0" borderId="10" xfId="0" applyFont="1" applyBorder="1" applyAlignment="1">
      <alignment horizontal="center" vertical="center"/>
    </xf>
    <xf numFmtId="0" fontId="17" fillId="0" borderId="4" xfId="0" applyFont="1" applyBorder="1" applyAlignment="1">
      <alignment horizontal="center" vertical="center"/>
    </xf>
    <xf numFmtId="0" fontId="22" fillId="0" borderId="13" xfId="0" applyFont="1" applyBorder="1"/>
    <xf numFmtId="0" fontId="15" fillId="0" borderId="2" xfId="0" applyFont="1" applyBorder="1" applyAlignment="1">
      <alignment horizontal="center" vertical="center"/>
    </xf>
    <xf numFmtId="0" fontId="15" fillId="0" borderId="3" xfId="0" applyFont="1" applyBorder="1" applyAlignment="1">
      <alignment horizontal="center" vertical="center"/>
    </xf>
    <xf numFmtId="43" fontId="15" fillId="0" borderId="3" xfId="1" applyFont="1" applyFill="1" applyBorder="1"/>
    <xf numFmtId="43" fontId="15" fillId="0" borderId="29" xfId="1" applyFont="1" applyFill="1" applyBorder="1"/>
    <xf numFmtId="0" fontId="22" fillId="0" borderId="5" xfId="0" applyFont="1" applyBorder="1"/>
    <xf numFmtId="0" fontId="15" fillId="0" borderId="6" xfId="0" applyFont="1" applyBorder="1" applyAlignment="1">
      <alignment horizontal="center" vertical="center"/>
    </xf>
    <xf numFmtId="0" fontId="15" fillId="0" borderId="7" xfId="0" applyFont="1" applyBorder="1" applyAlignment="1">
      <alignment horizontal="center" vertical="center"/>
    </xf>
    <xf numFmtId="43" fontId="15" fillId="0" borderId="7" xfId="1" applyFont="1" applyFill="1" applyBorder="1"/>
    <xf numFmtId="43" fontId="15" fillId="0" borderId="8" xfId="1" applyFont="1" applyFill="1" applyBorder="1"/>
    <xf numFmtId="0" fontId="15" fillId="0" borderId="9" xfId="0" applyFont="1" applyBorder="1"/>
    <xf numFmtId="0" fontId="14" fillId="0" borderId="0" xfId="0" applyFont="1"/>
    <xf numFmtId="0" fontId="15" fillId="0" borderId="12" xfId="0" applyFont="1" applyBorder="1"/>
    <xf numFmtId="0" fontId="23" fillId="0" borderId="1" xfId="0" applyFont="1" applyBorder="1" applyAlignment="1">
      <alignment horizontal="center" vertical="center"/>
    </xf>
    <xf numFmtId="1" fontId="15" fillId="0" borderId="4" xfId="0" applyNumberFormat="1" applyFont="1" applyBorder="1" applyAlignment="1">
      <alignment horizontal="center" vertical="center"/>
    </xf>
    <xf numFmtId="0" fontId="15" fillId="0" borderId="1" xfId="0" applyFont="1" applyBorder="1" applyAlignment="1">
      <alignment horizontal="center" vertical="center"/>
    </xf>
    <xf numFmtId="0" fontId="15" fillId="0" borderId="4" xfId="0" applyFont="1" applyBorder="1" applyAlignment="1">
      <alignment horizontal="center" vertical="center"/>
    </xf>
    <xf numFmtId="43" fontId="23" fillId="0" borderId="14" xfId="1" applyFont="1" applyFill="1" applyBorder="1" applyAlignment="1" applyProtection="1">
      <alignment horizontal="center" vertical="top"/>
      <protection locked="0"/>
    </xf>
    <xf numFmtId="0" fontId="22" fillId="0" borderId="12" xfId="0" applyFont="1" applyBorder="1"/>
    <xf numFmtId="0" fontId="15" fillId="0" borderId="12" xfId="0" applyFont="1" applyBorder="1" applyAlignment="1">
      <alignment wrapText="1"/>
    </xf>
    <xf numFmtId="43" fontId="15" fillId="0" borderId="4" xfId="1" applyFont="1" applyFill="1" applyBorder="1" applyAlignment="1"/>
    <xf numFmtId="0" fontId="15" fillId="0" borderId="15" xfId="0" applyFont="1" applyBorder="1"/>
    <xf numFmtId="43" fontId="15" fillId="0" borderId="26" xfId="1" applyFont="1" applyFill="1" applyBorder="1" applyAlignment="1"/>
    <xf numFmtId="0" fontId="15" fillId="0" borderId="1" xfId="0" applyFont="1" applyBorder="1" applyAlignment="1">
      <alignment vertical="top" wrapText="1"/>
    </xf>
    <xf numFmtId="43" fontId="15" fillId="0" borderId="4" xfId="1" applyFont="1" applyFill="1" applyBorder="1" applyAlignment="1">
      <alignment vertical="center"/>
    </xf>
    <xf numFmtId="43" fontId="15" fillId="0" borderId="26" xfId="1" applyFont="1" applyFill="1" applyBorder="1" applyAlignment="1">
      <alignment vertical="center"/>
    </xf>
    <xf numFmtId="0" fontId="15" fillId="0" borderId="1" xfId="0" applyFont="1" applyBorder="1" applyAlignment="1">
      <alignment wrapText="1"/>
    </xf>
    <xf numFmtId="0" fontId="23" fillId="0" borderId="2" xfId="0" applyFont="1" applyBorder="1" applyAlignment="1">
      <alignment wrapText="1"/>
    </xf>
    <xf numFmtId="0" fontId="23" fillId="0" borderId="2" xfId="0" applyFont="1" applyBorder="1" applyAlignment="1">
      <alignment horizontal="center" vertical="center"/>
    </xf>
    <xf numFmtId="1" fontId="15" fillId="0" borderId="3" xfId="0" applyNumberFormat="1" applyFont="1" applyBorder="1" applyAlignment="1">
      <alignment horizontal="center" vertical="center"/>
    </xf>
    <xf numFmtId="0" fontId="18" fillId="0" borderId="0" xfId="0" applyFont="1" applyAlignment="1">
      <alignment wrapText="1"/>
    </xf>
    <xf numFmtId="0" fontId="15" fillId="0" borderId="0" xfId="0" applyFont="1" applyAlignment="1">
      <alignment horizontal="center" vertical="center"/>
    </xf>
    <xf numFmtId="43" fontId="15" fillId="0" borderId="14" xfId="1" applyFont="1" applyFill="1" applyBorder="1"/>
    <xf numFmtId="1" fontId="23" fillId="0" borderId="4" xfId="0" applyNumberFormat="1" applyFont="1" applyBorder="1" applyAlignment="1">
      <alignment horizontal="center" vertical="center"/>
    </xf>
    <xf numFmtId="0" fontId="14" fillId="0" borderId="4" xfId="0" applyFont="1" applyBorder="1" applyAlignment="1">
      <alignment horizontal="center" vertical="center"/>
    </xf>
    <xf numFmtId="168" fontId="15" fillId="0" borderId="4" xfId="0" applyNumberFormat="1" applyFont="1" applyBorder="1" applyAlignment="1">
      <alignment horizontal="center" vertical="center"/>
    </xf>
    <xf numFmtId="0" fontId="15" fillId="0" borderId="13" xfId="0" applyFont="1" applyBorder="1"/>
    <xf numFmtId="0" fontId="17" fillId="0" borderId="5" xfId="0" applyFont="1" applyBorder="1"/>
    <xf numFmtId="0" fontId="18" fillId="0" borderId="0" xfId="0" applyFont="1"/>
    <xf numFmtId="0" fontId="15" fillId="0" borderId="16" xfId="0" applyFont="1" applyBorder="1"/>
    <xf numFmtId="0" fontId="15" fillId="0" borderId="17" xfId="0" applyFont="1" applyBorder="1" applyAlignment="1">
      <alignment horizontal="center" vertical="center"/>
    </xf>
    <xf numFmtId="0" fontId="15" fillId="0" borderId="18" xfId="0" applyFont="1" applyBorder="1" applyAlignment="1">
      <alignment horizontal="center" vertical="center"/>
    </xf>
    <xf numFmtId="43" fontId="15" fillId="0" borderId="18" xfId="1" applyFont="1" applyFill="1" applyBorder="1"/>
    <xf numFmtId="43" fontId="15" fillId="0" borderId="25" xfId="1" applyFont="1" applyFill="1" applyBorder="1"/>
    <xf numFmtId="0" fontId="15" fillId="0" borderId="19" xfId="0" applyFont="1" applyBorder="1" applyAlignment="1">
      <alignment wrapText="1"/>
    </xf>
    <xf numFmtId="0" fontId="23" fillId="0" borderId="20" xfId="0" applyFont="1" applyBorder="1" applyAlignment="1">
      <alignment horizontal="center" vertical="center"/>
    </xf>
    <xf numFmtId="1" fontId="15" fillId="0" borderId="21" xfId="0" applyNumberFormat="1" applyFont="1" applyBorder="1" applyAlignment="1">
      <alignment horizontal="center" vertical="center"/>
    </xf>
    <xf numFmtId="43" fontId="15" fillId="0" borderId="21" xfId="1" applyFont="1" applyFill="1" applyBorder="1"/>
    <xf numFmtId="43" fontId="15" fillId="0" borderId="27" xfId="1" applyFont="1" applyFill="1" applyBorder="1"/>
    <xf numFmtId="0" fontId="17" fillId="0" borderId="22" xfId="0" applyFont="1" applyBorder="1" applyAlignment="1">
      <alignment vertical="center"/>
    </xf>
    <xf numFmtId="43" fontId="17" fillId="0" borderId="30" xfId="1" applyFont="1" applyFill="1" applyBorder="1"/>
    <xf numFmtId="0" fontId="17" fillId="0" borderId="0" xfId="0" applyFont="1" applyAlignment="1">
      <alignment vertical="center"/>
    </xf>
    <xf numFmtId="43" fontId="17" fillId="0" borderId="35" xfId="1" applyFont="1" applyFill="1" applyBorder="1"/>
    <xf numFmtId="0" fontId="17" fillId="0" borderId="0" xfId="0" applyFont="1" applyAlignment="1">
      <alignment horizontal="center" vertical="center"/>
    </xf>
    <xf numFmtId="0" fontId="17" fillId="0" borderId="23" xfId="0" applyFont="1" applyBorder="1" applyAlignment="1">
      <alignment horizontal="center" vertical="center"/>
    </xf>
    <xf numFmtId="0" fontId="17" fillId="0" borderId="24" xfId="0" applyFont="1" applyBorder="1" applyAlignment="1">
      <alignment horizontal="center" vertical="center"/>
    </xf>
    <xf numFmtId="43" fontId="15" fillId="0" borderId="17" xfId="1" applyFont="1" applyFill="1" applyBorder="1"/>
    <xf numFmtId="0" fontId="18" fillId="0" borderId="0" xfId="0" applyFont="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wrapText="1"/>
    </xf>
    <xf numFmtId="0" fontId="23" fillId="0" borderId="13" xfId="0" applyFont="1" applyBorder="1" applyAlignment="1">
      <alignment wrapText="1"/>
    </xf>
    <xf numFmtId="0" fontId="23" fillId="0" borderId="3" xfId="0" applyFont="1" applyBorder="1" applyAlignment="1">
      <alignment horizontal="center" vertical="center"/>
    </xf>
    <xf numFmtId="0" fontId="23" fillId="0" borderId="0" xfId="0" applyFont="1"/>
    <xf numFmtId="0" fontId="23" fillId="0" borderId="19" xfId="0" applyFont="1" applyBorder="1" applyAlignment="1">
      <alignment wrapText="1"/>
    </xf>
    <xf numFmtId="0" fontId="23" fillId="0" borderId="21" xfId="0" applyFont="1" applyBorder="1" applyAlignment="1">
      <alignment horizontal="center" vertical="center"/>
    </xf>
    <xf numFmtId="0" fontId="13" fillId="0" borderId="22" xfId="0" applyFont="1" applyBorder="1" applyAlignment="1">
      <alignment vertical="center"/>
    </xf>
    <xf numFmtId="43" fontId="13" fillId="0" borderId="8" xfId="1" applyFont="1" applyFill="1" applyBorder="1"/>
    <xf numFmtId="0" fontId="13" fillId="0" borderId="0" xfId="0" applyFont="1" applyAlignment="1">
      <alignment vertical="center"/>
    </xf>
    <xf numFmtId="0" fontId="13" fillId="0" borderId="0" xfId="0" applyFont="1"/>
    <xf numFmtId="43" fontId="15" fillId="0" borderId="0" xfId="1" applyFont="1" applyFill="1" applyBorder="1"/>
    <xf numFmtId="43" fontId="15" fillId="0" borderId="10" xfId="1" applyFont="1" applyFill="1" applyBorder="1"/>
    <xf numFmtId="43" fontId="15" fillId="0" borderId="1" xfId="1" applyFont="1" applyFill="1" applyBorder="1"/>
    <xf numFmtId="43" fontId="15" fillId="0" borderId="0" xfId="1" applyFont="1" applyFill="1"/>
    <xf numFmtId="0" fontId="17" fillId="0" borderId="1" xfId="0" applyFont="1" applyBorder="1" applyAlignment="1">
      <alignment horizontal="center" vertical="center"/>
    </xf>
    <xf numFmtId="43" fontId="17" fillId="0" borderId="1" xfId="1" applyFont="1" applyFill="1" applyBorder="1"/>
    <xf numFmtId="43" fontId="17" fillId="0" borderId="0" xfId="1" applyFont="1" applyFill="1"/>
    <xf numFmtId="0" fontId="15" fillId="0" borderId="31" xfId="0" applyFont="1" applyBorder="1"/>
    <xf numFmtId="0" fontId="17" fillId="0" borderId="31" xfId="0" applyFont="1" applyBorder="1"/>
    <xf numFmtId="43" fontId="15" fillId="0" borderId="2" xfId="1" applyFont="1" applyFill="1" applyBorder="1"/>
    <xf numFmtId="0" fontId="15" fillId="0" borderId="39" xfId="0" applyFont="1" applyBorder="1"/>
    <xf numFmtId="0" fontId="19" fillId="0" borderId="31" xfId="5" applyFont="1" applyBorder="1" applyAlignment="1">
      <alignment horizontal="left" vertical="center" wrapText="1"/>
    </xf>
    <xf numFmtId="0" fontId="19" fillId="0" borderId="40" xfId="5" applyFont="1" applyBorder="1" applyAlignment="1">
      <alignment horizontal="left" vertical="center" wrapText="1"/>
    </xf>
    <xf numFmtId="0" fontId="22" fillId="0" borderId="31" xfId="0" applyFont="1" applyBorder="1" applyAlignment="1">
      <alignment vertical="center"/>
    </xf>
    <xf numFmtId="0" fontId="15" fillId="0" borderId="40" xfId="0" applyFont="1" applyBorder="1"/>
    <xf numFmtId="43" fontId="15" fillId="0" borderId="38" xfId="1" applyFont="1" applyFill="1" applyBorder="1"/>
    <xf numFmtId="0" fontId="15" fillId="0" borderId="5" xfId="0" applyFont="1" applyBorder="1" applyAlignment="1">
      <alignment horizontal="center" vertical="center"/>
    </xf>
    <xf numFmtId="0" fontId="15" fillId="0" borderId="10" xfId="0" applyFont="1" applyBorder="1"/>
    <xf numFmtId="0" fontId="15" fillId="0" borderId="2" xfId="0" applyFont="1" applyBorder="1"/>
    <xf numFmtId="0" fontId="2" fillId="0" borderId="0" xfId="6" applyAlignment="1">
      <alignment vertical="top"/>
    </xf>
    <xf numFmtId="0" fontId="2" fillId="0" borderId="0" xfId="6" applyAlignment="1">
      <alignment horizontal="left" vertical="top" wrapText="1"/>
    </xf>
    <xf numFmtId="0" fontId="2" fillId="0" borderId="0" xfId="6" applyAlignment="1">
      <alignment horizontal="center" vertical="top"/>
    </xf>
    <xf numFmtId="169" fontId="26" fillId="0" borderId="0" xfId="6" applyNumberFormat="1" applyFont="1" applyAlignment="1">
      <alignment vertical="center"/>
    </xf>
    <xf numFmtId="0" fontId="2" fillId="0" borderId="0" xfId="6" applyAlignment="1">
      <alignment vertical="center"/>
    </xf>
    <xf numFmtId="169" fontId="27" fillId="0" borderId="0" xfId="6" applyNumberFormat="1" applyFont="1" applyAlignment="1">
      <alignment vertical="center"/>
    </xf>
    <xf numFmtId="0" fontId="6" fillId="0" borderId="0" xfId="6" applyFont="1" applyAlignment="1">
      <alignment vertical="center"/>
    </xf>
    <xf numFmtId="0" fontId="6" fillId="0" borderId="0" xfId="6" applyFont="1" applyAlignment="1">
      <alignment vertical="top"/>
    </xf>
    <xf numFmtId="0" fontId="2" fillId="0" borderId="0" xfId="6" applyAlignment="1">
      <alignment horizontal="center" vertical="top" wrapText="1"/>
    </xf>
    <xf numFmtId="4" fontId="2" fillId="0" borderId="0" xfId="6" applyNumberFormat="1" applyAlignment="1">
      <alignment vertical="top"/>
    </xf>
    <xf numFmtId="0" fontId="2" fillId="0" borderId="35" xfId="6" applyBorder="1" applyAlignment="1">
      <alignment vertical="top"/>
    </xf>
    <xf numFmtId="0" fontId="6" fillId="0" borderId="12" xfId="6" applyFont="1" applyBorder="1" applyAlignment="1">
      <alignment horizontal="center" vertical="top" wrapText="1"/>
    </xf>
    <xf numFmtId="4" fontId="6" fillId="0" borderId="26" xfId="6" applyNumberFormat="1" applyFont="1" applyBorder="1" applyAlignment="1">
      <alignment horizontal="center" vertical="top"/>
    </xf>
    <xf numFmtId="0" fontId="2" fillId="0" borderId="12" xfId="6" applyBorder="1" applyAlignment="1">
      <alignment horizontal="center" vertical="center" wrapText="1"/>
    </xf>
    <xf numFmtId="0" fontId="2" fillId="0" borderId="13" xfId="6" applyBorder="1" applyAlignment="1">
      <alignment horizontal="center" vertical="center" wrapText="1"/>
    </xf>
    <xf numFmtId="0" fontId="2" fillId="0" borderId="5" xfId="6" applyBorder="1" applyAlignment="1">
      <alignment horizontal="center" vertical="center" wrapText="1"/>
    </xf>
    <xf numFmtId="0" fontId="2" fillId="0" borderId="42" xfId="6" applyBorder="1" applyAlignment="1">
      <alignment horizontal="center" vertical="center" wrapText="1"/>
    </xf>
    <xf numFmtId="9" fontId="2" fillId="0" borderId="0" xfId="6" applyNumberFormat="1" applyAlignment="1">
      <alignment vertical="center"/>
    </xf>
    <xf numFmtId="0" fontId="6" fillId="0" borderId="5" xfId="6" applyFont="1" applyBorder="1" applyAlignment="1">
      <alignment horizontal="center" vertical="center" wrapText="1"/>
    </xf>
    <xf numFmtId="0" fontId="2" fillId="0" borderId="15" xfId="6" applyBorder="1" applyAlignment="1">
      <alignment horizontal="center" vertical="center" wrapText="1"/>
    </xf>
    <xf numFmtId="0" fontId="2" fillId="0" borderId="0" xfId="6" applyAlignment="1">
      <alignment horizontal="left" vertical="center" wrapText="1"/>
    </xf>
    <xf numFmtId="0" fontId="2" fillId="0" borderId="0" xfId="6" applyAlignment="1">
      <alignment horizontal="center" vertical="center"/>
    </xf>
    <xf numFmtId="4" fontId="2" fillId="0" borderId="46" xfId="6" applyNumberFormat="1" applyBorder="1" applyAlignment="1">
      <alignment vertical="center"/>
    </xf>
    <xf numFmtId="0" fontId="2" fillId="0" borderId="15" xfId="6" applyBorder="1" applyAlignment="1">
      <alignment horizontal="left"/>
    </xf>
    <xf numFmtId="0" fontId="2" fillId="0" borderId="0" xfId="6" applyAlignment="1">
      <alignment horizontal="left" wrapText="1"/>
    </xf>
    <xf numFmtId="0" fontId="2" fillId="0" borderId="0" xfId="6"/>
    <xf numFmtId="4" fontId="2" fillId="0" borderId="46" xfId="6" applyNumberFormat="1" applyBorder="1"/>
    <xf numFmtId="0" fontId="6" fillId="0" borderId="15" xfId="6" applyFont="1" applyBorder="1" applyAlignment="1">
      <alignment vertical="center"/>
    </xf>
    <xf numFmtId="0" fontId="6" fillId="0" borderId="0" xfId="6" applyFont="1" applyAlignment="1">
      <alignment vertical="center" wrapText="1"/>
    </xf>
    <xf numFmtId="0" fontId="6" fillId="0" borderId="47" xfId="6" applyFont="1" applyBorder="1" applyAlignment="1">
      <alignment vertical="center"/>
    </xf>
    <xf numFmtId="0" fontId="2" fillId="0" borderId="48" xfId="6" applyBorder="1" applyAlignment="1">
      <alignment vertical="center"/>
    </xf>
    <xf numFmtId="0" fontId="6" fillId="0" borderId="48" xfId="6" applyFont="1" applyBorder="1" applyAlignment="1">
      <alignment vertical="center" wrapText="1"/>
    </xf>
    <xf numFmtId="4" fontId="2" fillId="0" borderId="49" xfId="6" applyNumberFormat="1" applyBorder="1" applyAlignment="1">
      <alignment vertical="center"/>
    </xf>
    <xf numFmtId="169" fontId="2" fillId="0" borderId="0" xfId="6" applyNumberFormat="1" applyAlignment="1">
      <alignment vertical="center"/>
    </xf>
    <xf numFmtId="0" fontId="15" fillId="0" borderId="1" xfId="0" applyFont="1" applyBorder="1"/>
    <xf numFmtId="0" fontId="15" fillId="0" borderId="1" xfId="0" applyFont="1" applyBorder="1" applyAlignment="1">
      <alignment horizontal="center"/>
    </xf>
    <xf numFmtId="0" fontId="14" fillId="0" borderId="0" xfId="3" applyFont="1"/>
    <xf numFmtId="0" fontId="15" fillId="0" borderId="0" xfId="3" applyFont="1"/>
    <xf numFmtId="0" fontId="16" fillId="0" borderId="39" xfId="5" applyFont="1" applyBorder="1" applyAlignment="1">
      <alignment horizontal="center" vertical="center"/>
    </xf>
    <xf numFmtId="0" fontId="16" fillId="0" borderId="31" xfId="5" applyFont="1" applyBorder="1" applyAlignment="1">
      <alignment horizontal="center" vertical="center"/>
    </xf>
    <xf numFmtId="166" fontId="16" fillId="0" borderId="1" xfId="4" applyFont="1" applyFill="1" applyBorder="1" applyAlignment="1">
      <alignment horizontal="center" vertical="center" wrapText="1"/>
    </xf>
    <xf numFmtId="2" fontId="16" fillId="0" borderId="4" xfId="1" applyNumberFormat="1" applyFont="1" applyFill="1" applyBorder="1" applyAlignment="1">
      <alignment horizontal="center" vertical="center"/>
    </xf>
    <xf numFmtId="0" fontId="13" fillId="0" borderId="31" xfId="0" applyFont="1" applyBorder="1" applyAlignment="1">
      <alignment vertical="center"/>
    </xf>
    <xf numFmtId="0" fontId="20" fillId="0" borderId="31" xfId="0" applyFont="1" applyBorder="1"/>
    <xf numFmtId="0" fontId="20" fillId="0" borderId="31" xfId="0" applyFont="1" applyBorder="1" applyAlignment="1">
      <alignment wrapText="1"/>
    </xf>
    <xf numFmtId="0" fontId="19" fillId="0" borderId="31" xfId="0" applyFont="1" applyBorder="1" applyAlignment="1">
      <alignment wrapText="1"/>
    </xf>
    <xf numFmtId="0" fontId="19" fillId="0" borderId="31" xfId="0" applyFont="1" applyBorder="1" applyAlignment="1">
      <alignment vertical="top" wrapText="1"/>
    </xf>
    <xf numFmtId="0" fontId="22" fillId="0" borderId="39" xfId="0" applyFont="1" applyBorder="1"/>
    <xf numFmtId="0" fontId="22" fillId="0" borderId="31" xfId="0" applyFont="1" applyBorder="1"/>
    <xf numFmtId="0" fontId="15" fillId="0" borderId="31" xfId="0" applyFont="1" applyBorder="1" applyAlignment="1">
      <alignment wrapText="1"/>
    </xf>
    <xf numFmtId="0" fontId="23" fillId="0" borderId="31" xfId="0" applyFont="1" applyBorder="1" applyAlignment="1">
      <alignment wrapText="1"/>
    </xf>
    <xf numFmtId="0" fontId="23" fillId="0" borderId="40" xfId="0" applyFont="1" applyBorder="1" applyAlignment="1">
      <alignment wrapText="1"/>
    </xf>
    <xf numFmtId="0" fontId="19" fillId="0" borderId="41" xfId="5" applyFont="1" applyBorder="1" applyAlignment="1">
      <alignment horizontal="left" vertical="center" wrapText="1"/>
    </xf>
    <xf numFmtId="0" fontId="20" fillId="0" borderId="1" xfId="0" applyFont="1" applyBorder="1"/>
    <xf numFmtId="0" fontId="17" fillId="0" borderId="1" xfId="0" applyFont="1" applyBorder="1"/>
    <xf numFmtId="0" fontId="20" fillId="0" borderId="1" xfId="0" applyFont="1" applyBorder="1" applyAlignment="1">
      <alignment wrapText="1"/>
    </xf>
    <xf numFmtId="0" fontId="19" fillId="0" borderId="1" xfId="0" applyFont="1" applyBorder="1" applyAlignment="1">
      <alignment wrapText="1"/>
    </xf>
    <xf numFmtId="0" fontId="19" fillId="0" borderId="1" xfId="0" applyFont="1" applyBorder="1" applyAlignment="1">
      <alignment vertical="top" wrapText="1"/>
    </xf>
    <xf numFmtId="0" fontId="13" fillId="0" borderId="1" xfId="0" applyFont="1" applyBorder="1" applyAlignment="1">
      <alignment vertical="center"/>
    </xf>
    <xf numFmtId="0" fontId="19" fillId="0" borderId="2" xfId="0" applyFont="1" applyBorder="1" applyAlignment="1">
      <alignment wrapText="1"/>
    </xf>
    <xf numFmtId="0" fontId="15" fillId="0" borderId="2" xfId="0" applyFont="1" applyBorder="1" applyAlignment="1">
      <alignment horizontal="center"/>
    </xf>
    <xf numFmtId="0" fontId="17" fillId="0" borderId="6" xfId="0" applyFont="1" applyBorder="1"/>
    <xf numFmtId="2" fontId="15" fillId="0" borderId="1" xfId="0" applyNumberFormat="1" applyFont="1" applyBorder="1"/>
    <xf numFmtId="0" fontId="15" fillId="0" borderId="1" xfId="0" applyFont="1" applyBorder="1" applyAlignment="1">
      <alignment horizontal="left" wrapText="1"/>
    </xf>
    <xf numFmtId="2" fontId="15" fillId="0" borderId="2" xfId="0" applyNumberFormat="1" applyFont="1" applyBorder="1"/>
    <xf numFmtId="0" fontId="17" fillId="0" borderId="1" xfId="0" applyFont="1" applyBorder="1" applyAlignment="1">
      <alignment horizontal="center"/>
    </xf>
    <xf numFmtId="0" fontId="19" fillId="0" borderId="1" xfId="5" applyFont="1" applyBorder="1" applyAlignment="1">
      <alignment horizontal="left" vertical="center" wrapText="1"/>
    </xf>
    <xf numFmtId="0" fontId="22" fillId="0" borderId="1" xfId="0" applyFont="1" applyBorder="1"/>
    <xf numFmtId="0" fontId="15" fillId="0" borderId="1" xfId="5" applyFont="1" applyBorder="1" applyAlignment="1">
      <alignment wrapText="1"/>
    </xf>
    <xf numFmtId="0" fontId="2" fillId="0" borderId="50" xfId="6" applyBorder="1" applyAlignment="1">
      <alignment vertical="top"/>
    </xf>
    <xf numFmtId="0" fontId="2" fillId="0" borderId="15" xfId="6" applyBorder="1" applyAlignment="1">
      <alignment horizontal="center" vertical="top" wrapText="1"/>
    </xf>
    <xf numFmtId="4" fontId="2" fillId="0" borderId="46" xfId="6" applyNumberFormat="1" applyBorder="1" applyAlignment="1">
      <alignment vertical="top"/>
    </xf>
    <xf numFmtId="43" fontId="2" fillId="0" borderId="26" xfId="1" applyFont="1" applyBorder="1" applyAlignment="1">
      <alignment horizontal="center" vertical="center"/>
    </xf>
    <xf numFmtId="0" fontId="6" fillId="0" borderId="12" xfId="6" applyFont="1" applyBorder="1" applyAlignment="1">
      <alignment horizontal="center" vertical="center" wrapText="1"/>
    </xf>
    <xf numFmtId="43" fontId="6" fillId="0" borderId="26" xfId="1" applyFont="1" applyBorder="1" applyAlignment="1">
      <alignment horizontal="center" vertical="center"/>
    </xf>
    <xf numFmtId="43" fontId="2" fillId="0" borderId="26" xfId="1" applyFont="1" applyBorder="1" applyAlignment="1">
      <alignment vertical="top"/>
    </xf>
    <xf numFmtId="2" fontId="2" fillId="0" borderId="12" xfId="6" applyNumberFormat="1" applyBorder="1" applyAlignment="1">
      <alignment horizontal="center" vertical="center" wrapText="1"/>
    </xf>
    <xf numFmtId="2" fontId="2" fillId="0" borderId="12" xfId="6" applyNumberFormat="1" applyBorder="1" applyAlignment="1">
      <alignment horizontal="center" vertical="top" wrapText="1"/>
    </xf>
    <xf numFmtId="0" fontId="2" fillId="0" borderId="12" xfId="6" applyBorder="1" applyAlignment="1">
      <alignment horizontal="center" vertical="top" wrapText="1"/>
    </xf>
    <xf numFmtId="0" fontId="2" fillId="0" borderId="47" xfId="6" applyBorder="1" applyAlignment="1">
      <alignment horizontal="center" vertical="top" wrapText="1"/>
    </xf>
    <xf numFmtId="0" fontId="2" fillId="0" borderId="48" xfId="6" applyBorder="1" applyAlignment="1">
      <alignment horizontal="left" vertical="top" wrapText="1"/>
    </xf>
    <xf numFmtId="0" fontId="2" fillId="0" borderId="48" xfId="6" applyBorder="1" applyAlignment="1">
      <alignment horizontal="center" vertical="top"/>
    </xf>
    <xf numFmtId="4" fontId="2" fillId="0" borderId="49" xfId="6" applyNumberFormat="1" applyBorder="1" applyAlignment="1">
      <alignment vertical="top"/>
    </xf>
    <xf numFmtId="43" fontId="2" fillId="0" borderId="29" xfId="1" applyFont="1" applyBorder="1" applyAlignment="1">
      <alignment horizontal="center" vertical="center"/>
    </xf>
    <xf numFmtId="43" fontId="2" fillId="0" borderId="38" xfId="1" applyFont="1" applyBorder="1" applyAlignment="1">
      <alignment horizontal="center" vertical="center"/>
    </xf>
    <xf numFmtId="43" fontId="2" fillId="0" borderId="30" xfId="1" applyFont="1" applyBorder="1" applyAlignment="1">
      <alignment horizontal="center" vertical="center"/>
    </xf>
    <xf numFmtId="43" fontId="6" fillId="0" borderId="38" xfId="1" applyFont="1" applyBorder="1" applyAlignment="1">
      <alignment horizontal="center" vertical="center"/>
    </xf>
    <xf numFmtId="164" fontId="6" fillId="0" borderId="22" xfId="2" applyFont="1" applyBorder="1" applyAlignment="1">
      <alignment horizontal="center" vertical="center"/>
    </xf>
    <xf numFmtId="164" fontId="6" fillId="0" borderId="33" xfId="2" applyFont="1" applyBorder="1" applyAlignment="1">
      <alignment horizontal="center" vertical="center"/>
    </xf>
    <xf numFmtId="164" fontId="6" fillId="0" borderId="34" xfId="2" applyFont="1" applyBorder="1" applyAlignment="1">
      <alignment horizontal="center" vertical="center"/>
    </xf>
    <xf numFmtId="164" fontId="6" fillId="0" borderId="18" xfId="2" applyFont="1" applyBorder="1" applyAlignment="1">
      <alignment horizontal="left" vertical="top"/>
    </xf>
    <xf numFmtId="164" fontId="6" fillId="0" borderId="36" xfId="2" applyFont="1" applyBorder="1" applyAlignment="1">
      <alignment horizontal="left" vertical="top"/>
    </xf>
    <xf numFmtId="164" fontId="6" fillId="0" borderId="37" xfId="2" applyFont="1" applyBorder="1" applyAlignment="1">
      <alignment horizontal="left" vertical="top"/>
    </xf>
    <xf numFmtId="165" fontId="8" fillId="0" borderId="1" xfId="0" applyNumberFormat="1" applyFont="1" applyBorder="1" applyAlignment="1">
      <alignment horizontal="center" vertical="center"/>
    </xf>
    <xf numFmtId="165" fontId="8" fillId="0" borderId="26" xfId="0" applyNumberFormat="1" applyFont="1" applyBorder="1" applyAlignment="1">
      <alignment horizontal="center" vertical="center"/>
    </xf>
    <xf numFmtId="0" fontId="17" fillId="0" borderId="33" xfId="0" applyFont="1" applyBorder="1" applyAlignment="1">
      <alignment horizontal="center"/>
    </xf>
    <xf numFmtId="0" fontId="17" fillId="0" borderId="32" xfId="0" applyFont="1" applyBorder="1" applyAlignment="1">
      <alignment horizontal="center"/>
    </xf>
    <xf numFmtId="0" fontId="17" fillId="0" borderId="22" xfId="0" applyFont="1" applyBorder="1" applyAlignment="1">
      <alignment horizontal="center" wrapText="1"/>
    </xf>
    <xf numFmtId="0" fontId="17" fillId="0" borderId="33" xfId="0" applyFont="1" applyBorder="1" applyAlignment="1">
      <alignment horizontal="center" wrapText="1"/>
    </xf>
    <xf numFmtId="0" fontId="17" fillId="0" borderId="34" xfId="0" applyFont="1" applyBorder="1" applyAlignment="1">
      <alignment horizontal="center" wrapText="1"/>
    </xf>
    <xf numFmtId="0" fontId="17" fillId="0" borderId="34" xfId="0" applyFont="1" applyBorder="1" applyAlignment="1">
      <alignment horizontal="center"/>
    </xf>
    <xf numFmtId="0" fontId="16" fillId="0" borderId="33" xfId="5" applyFont="1" applyBorder="1" applyAlignment="1">
      <alignment horizontal="center" vertical="center" wrapText="1"/>
    </xf>
    <xf numFmtId="0" fontId="16" fillId="0" borderId="32" xfId="5" applyFont="1" applyBorder="1" applyAlignment="1">
      <alignment horizontal="center" vertical="center" wrapText="1"/>
    </xf>
    <xf numFmtId="164" fontId="13" fillId="0" borderId="22" xfId="2" applyFont="1" applyBorder="1" applyAlignment="1">
      <alignment horizontal="center" vertical="center"/>
    </xf>
    <xf numFmtId="164" fontId="13" fillId="0" borderId="33" xfId="2" applyFont="1" applyBorder="1" applyAlignment="1">
      <alignment horizontal="center" vertical="center"/>
    </xf>
    <xf numFmtId="164" fontId="13" fillId="0" borderId="34" xfId="2" applyFont="1" applyBorder="1" applyAlignment="1">
      <alignment horizontal="center" vertical="center"/>
    </xf>
    <xf numFmtId="164" fontId="13" fillId="0" borderId="23" xfId="2" applyFont="1" applyBorder="1" applyAlignment="1">
      <alignment horizontal="center" vertical="center"/>
    </xf>
    <xf numFmtId="0" fontId="13" fillId="0" borderId="22" xfId="0" applyFont="1" applyBorder="1" applyAlignment="1">
      <alignment horizontal="center" vertical="center"/>
    </xf>
    <xf numFmtId="0" fontId="13" fillId="0" borderId="33" xfId="0" applyFont="1" applyBorder="1" applyAlignment="1">
      <alignment horizontal="center" vertical="center"/>
    </xf>
    <xf numFmtId="0" fontId="13" fillId="0" borderId="32" xfId="0" applyFont="1" applyBorder="1" applyAlignment="1">
      <alignment horizontal="center" vertical="center"/>
    </xf>
    <xf numFmtId="0" fontId="15" fillId="0" borderId="22" xfId="0" applyFont="1" applyBorder="1" applyAlignment="1">
      <alignment horizontal="center"/>
    </xf>
    <xf numFmtId="0" fontId="15" fillId="0" borderId="33" xfId="0" applyFont="1" applyBorder="1" applyAlignment="1">
      <alignment horizontal="center"/>
    </xf>
    <xf numFmtId="0" fontId="15" fillId="0" borderId="34" xfId="0" applyFont="1" applyBorder="1" applyAlignment="1">
      <alignment horizontal="center"/>
    </xf>
    <xf numFmtId="0" fontId="17" fillId="0" borderId="2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7" fillId="0" borderId="32" xfId="0" applyFont="1" applyBorder="1" applyAlignment="1">
      <alignment horizontal="center" wrapText="1"/>
    </xf>
    <xf numFmtId="0" fontId="17" fillId="0" borderId="22" xfId="0" applyFont="1" applyBorder="1" applyAlignment="1">
      <alignment horizontal="center"/>
    </xf>
    <xf numFmtId="0" fontId="6" fillId="0" borderId="4" xfId="6" applyFont="1" applyBorder="1" applyAlignment="1">
      <alignment horizontal="center" vertical="center" wrapText="1"/>
    </xf>
    <xf numFmtId="0" fontId="6" fillId="0" borderId="31" xfId="6" applyFont="1" applyBorder="1" applyAlignment="1">
      <alignment horizontal="center" vertical="center" wrapText="1"/>
    </xf>
    <xf numFmtId="0" fontId="2" fillId="0" borderId="1" xfId="6" applyBorder="1" applyAlignment="1">
      <alignment horizontal="left" vertical="center" wrapText="1"/>
    </xf>
    <xf numFmtId="0" fontId="6" fillId="0" borderId="4" xfId="6" applyFont="1" applyBorder="1" applyAlignment="1">
      <alignment horizontal="left" vertical="center" wrapText="1"/>
    </xf>
    <xf numFmtId="0" fontId="6" fillId="0" borderId="31" xfId="6" applyFont="1" applyBorder="1" applyAlignment="1">
      <alignment horizontal="left" vertical="center" wrapText="1"/>
    </xf>
    <xf numFmtId="49" fontId="25" fillId="0" borderId="23" xfId="6" applyNumberFormat="1" applyFont="1" applyBorder="1" applyAlignment="1">
      <alignment horizontal="center" vertical="top"/>
    </xf>
    <xf numFmtId="49" fontId="25" fillId="0" borderId="24" xfId="6" applyNumberFormat="1" applyFont="1" applyBorder="1" applyAlignment="1">
      <alignment horizontal="center" vertical="top"/>
    </xf>
    <xf numFmtId="0" fontId="6" fillId="0" borderId="1" xfId="6" applyFont="1" applyBorder="1" applyAlignment="1">
      <alignment horizontal="center" vertical="center" wrapText="1"/>
    </xf>
    <xf numFmtId="0" fontId="6" fillId="0" borderId="4" xfId="6" applyFont="1" applyBorder="1" applyAlignment="1">
      <alignment horizontal="left" vertical="top" wrapText="1"/>
    </xf>
    <xf numFmtId="0" fontId="6" fillId="0" borderId="31" xfId="6" applyFont="1" applyBorder="1" applyAlignment="1">
      <alignment horizontal="left" vertical="top" wrapText="1"/>
    </xf>
    <xf numFmtId="0" fontId="2" fillId="0" borderId="4" xfId="6" applyBorder="1" applyAlignment="1">
      <alignment horizontal="left" vertical="center" wrapText="1"/>
    </xf>
    <xf numFmtId="0" fontId="2" fillId="0" borderId="31" xfId="6" applyBorder="1" applyAlignment="1">
      <alignment horizontal="left" vertical="center" wrapText="1"/>
    </xf>
    <xf numFmtId="0" fontId="6" fillId="0" borderId="1" xfId="6" applyFont="1" applyBorder="1" applyAlignment="1">
      <alignment horizontal="left" vertical="top" wrapText="1"/>
    </xf>
    <xf numFmtId="0" fontId="2" fillId="0" borderId="4" xfId="6" applyBorder="1" applyAlignment="1">
      <alignment horizontal="left" vertical="top" wrapText="1"/>
    </xf>
    <xf numFmtId="0" fontId="2" fillId="0" borderId="31" xfId="6" applyBorder="1" applyAlignment="1">
      <alignment horizontal="left" vertical="top" wrapText="1"/>
    </xf>
    <xf numFmtId="0" fontId="2" fillId="0" borderId="7" xfId="6" applyBorder="1" applyAlignment="1">
      <alignment horizontal="left" vertical="center" wrapText="1"/>
    </xf>
    <xf numFmtId="0" fontId="2" fillId="0" borderId="33" xfId="6" applyBorder="1" applyAlignment="1">
      <alignment horizontal="left" vertical="center" wrapText="1"/>
    </xf>
    <xf numFmtId="0" fontId="2" fillId="0" borderId="14" xfId="6" applyBorder="1" applyAlignment="1">
      <alignment horizontal="left" vertical="center" wrapText="1"/>
    </xf>
    <xf numFmtId="0" fontId="2" fillId="0" borderId="43" xfId="6" applyBorder="1" applyAlignment="1">
      <alignment horizontal="left" vertical="center" wrapText="1"/>
    </xf>
    <xf numFmtId="0" fontId="28" fillId="0" borderId="7" xfId="6" applyFont="1" applyBorder="1" applyAlignment="1">
      <alignment horizontal="left" vertical="center"/>
    </xf>
    <xf numFmtId="0" fontId="28" fillId="0" borderId="34" xfId="6" applyFont="1" applyBorder="1" applyAlignment="1">
      <alignment horizontal="left" vertical="center"/>
    </xf>
    <xf numFmtId="49" fontId="6" fillId="0" borderId="44" xfId="6" applyNumberFormat="1" applyFont="1" applyBorder="1" applyAlignment="1">
      <alignment horizontal="center" vertical="top"/>
    </xf>
    <xf numFmtId="49" fontId="6" fillId="0" borderId="45" xfId="6" applyNumberFormat="1" applyFont="1" applyBorder="1" applyAlignment="1">
      <alignment horizontal="center" vertical="top"/>
    </xf>
    <xf numFmtId="0" fontId="2" fillId="0" borderId="2" xfId="6" applyBorder="1" applyAlignment="1">
      <alignment horizontal="left" vertical="center" wrapText="1"/>
    </xf>
    <xf numFmtId="0" fontId="6" fillId="0" borderId="1" xfId="6" applyFont="1" applyBorder="1" applyAlignment="1">
      <alignment horizontal="center" vertical="top" wrapText="1"/>
    </xf>
  </cellXfs>
  <cellStyles count="10">
    <cellStyle name="Comma" xfId="1" builtinId="3"/>
    <cellStyle name="Comma 2" xfId="4" xr:uid="{6D55C63A-1882-4F92-8BB7-CEADC59FB33F}"/>
    <cellStyle name="Comma 3" xfId="7" xr:uid="{C8993582-DFC1-4D34-8726-312740E307A7}"/>
    <cellStyle name="Currency 3" xfId="8" xr:uid="{6165169C-8AFA-4C1F-B1B5-2BD38869A4A3}"/>
    <cellStyle name="Normal" xfId="0" builtinId="0"/>
    <cellStyle name="Normal 2" xfId="6" xr:uid="{C517BF56-11B7-4D6D-A9F3-69467920E5C1}"/>
    <cellStyle name="Normal 2 3" xfId="5" xr:uid="{A518F684-E05B-48FC-B45E-17133AEF66C5}"/>
    <cellStyle name="Normal 4" xfId="3" xr:uid="{24C98845-1CB6-478B-97D2-47983FA33B3A}"/>
    <cellStyle name="Normal_Bill of quantities" xfId="2" xr:uid="{957ACEC2-2AA7-41D2-96B5-21AB40B0BCA6}"/>
    <cellStyle name="Percent" xfId="9" builtinId="5"/>
  </cellStyles>
  <dxfs count="0"/>
  <tableStyles count="0" defaultTableStyle="TableStyleMedium2" defaultPivotStyle="PivotStyleLight16"/>
  <colors>
    <mruColors>
      <color rgb="FF00FF00"/>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D181B-78D6-457A-85E5-35A2E141A47D}">
  <sheetPr>
    <pageSetUpPr fitToPage="1"/>
  </sheetPr>
  <dimension ref="A1:I88"/>
  <sheetViews>
    <sheetView tabSelected="1" zoomScale="66" workbookViewId="0">
      <selection activeCell="D12" sqref="D12"/>
    </sheetView>
  </sheetViews>
  <sheetFormatPr defaultColWidth="8.453125" defaultRowHeight="12.5"/>
  <cols>
    <col min="1" max="1" width="8.81640625" style="42" customWidth="1"/>
    <col min="2" max="2" width="59" style="2" customWidth="1"/>
    <col min="3" max="3" width="9.453125" style="2" customWidth="1"/>
    <col min="4" max="4" width="13.26953125" style="2" customWidth="1"/>
    <col min="5" max="5" width="17.453125" style="43" customWidth="1"/>
    <col min="6" max="6" width="17.453125" style="44" customWidth="1"/>
    <col min="7" max="7" width="24.90625" style="1" customWidth="1"/>
    <col min="8" max="8" width="17.54296875" style="2" customWidth="1"/>
    <col min="9" max="9" width="15.6328125" style="2" customWidth="1"/>
    <col min="10" max="16384" width="8.453125" style="2"/>
  </cols>
  <sheetData>
    <row r="1" spans="1:9" ht="27" customHeight="1" thickBot="1">
      <c r="A1" s="290" t="s">
        <v>0</v>
      </c>
      <c r="B1" s="291"/>
      <c r="C1" s="291"/>
      <c r="D1" s="291"/>
      <c r="E1" s="291"/>
      <c r="F1" s="292"/>
    </row>
    <row r="2" spans="1:9" ht="13">
      <c r="A2" s="3"/>
      <c r="B2" s="293" t="s">
        <v>1</v>
      </c>
      <c r="C2" s="294"/>
      <c r="D2" s="294"/>
      <c r="E2" s="294"/>
      <c r="F2" s="295"/>
    </row>
    <row r="3" spans="1:9" ht="13">
      <c r="A3" s="4"/>
      <c r="B3" s="5"/>
      <c r="C3" s="5"/>
      <c r="D3" s="5"/>
      <c r="E3" s="296"/>
      <c r="F3" s="297"/>
    </row>
    <row r="4" spans="1:9" ht="28.5" customHeight="1">
      <c r="A4" s="6" t="s">
        <v>2</v>
      </c>
      <c r="B4" s="7" t="s">
        <v>3</v>
      </c>
      <c r="C4" s="7" t="s">
        <v>4</v>
      </c>
      <c r="D4" s="8" t="s">
        <v>5</v>
      </c>
      <c r="E4" s="9" t="s">
        <v>6</v>
      </c>
      <c r="F4" s="10" t="s">
        <v>7</v>
      </c>
    </row>
    <row r="5" spans="1:9" ht="13">
      <c r="A5" s="11"/>
      <c r="B5" s="7"/>
      <c r="C5" s="12"/>
      <c r="D5" s="13"/>
      <c r="E5" s="14"/>
      <c r="F5" s="15"/>
    </row>
    <row r="6" spans="1:9" ht="27.65" customHeight="1">
      <c r="A6" s="6" t="s">
        <v>8</v>
      </c>
      <c r="B6" s="16" t="s">
        <v>117</v>
      </c>
      <c r="C6" s="12"/>
      <c r="D6" s="13"/>
      <c r="E6" s="14"/>
      <c r="F6" s="15"/>
    </row>
    <row r="7" spans="1:9" ht="13">
      <c r="A7" s="11"/>
      <c r="B7" s="7"/>
      <c r="C7" s="12"/>
      <c r="D7" s="13"/>
      <c r="E7" s="14"/>
      <c r="F7" s="15"/>
    </row>
    <row r="8" spans="1:9">
      <c r="A8" s="17"/>
      <c r="B8" s="18"/>
      <c r="C8" s="19"/>
      <c r="D8" s="20"/>
      <c r="E8" s="14"/>
      <c r="F8" s="15"/>
      <c r="G8" s="21"/>
      <c r="H8" s="21"/>
    </row>
    <row r="9" spans="1:9" ht="13">
      <c r="A9" s="11" t="s">
        <v>9</v>
      </c>
      <c r="B9" s="22" t="s">
        <v>10</v>
      </c>
      <c r="C9" s="23"/>
      <c r="D9" s="24"/>
      <c r="E9" s="14"/>
      <c r="F9" s="15"/>
      <c r="G9" s="25">
        <f>Summary!D6+Summary!D7</f>
        <v>0</v>
      </c>
      <c r="H9" s="26">
        <f>G9*12%</f>
        <v>0</v>
      </c>
    </row>
    <row r="10" spans="1:9" ht="13">
      <c r="A10" s="17"/>
      <c r="B10" s="27"/>
      <c r="C10" s="23"/>
      <c r="D10" s="24"/>
      <c r="E10" s="14"/>
      <c r="F10" s="15"/>
      <c r="I10" s="28"/>
    </row>
    <row r="11" spans="1:9" ht="19.5" customHeight="1">
      <c r="A11" s="17" t="s">
        <v>11</v>
      </c>
      <c r="B11" s="29" t="s">
        <v>12</v>
      </c>
      <c r="C11" s="23" t="s">
        <v>105</v>
      </c>
      <c r="D11" s="20">
        <v>100</v>
      </c>
      <c r="E11" s="14"/>
      <c r="F11" s="15">
        <f>D11*E11</f>
        <v>0</v>
      </c>
      <c r="I11" s="30"/>
    </row>
    <row r="12" spans="1:9">
      <c r="A12" s="17"/>
      <c r="B12" s="29"/>
      <c r="C12" s="23"/>
      <c r="D12" s="24"/>
      <c r="E12" s="14"/>
      <c r="F12" s="15"/>
    </row>
    <row r="13" spans="1:9" ht="22.5" customHeight="1">
      <c r="A13" s="17" t="s">
        <v>14</v>
      </c>
      <c r="B13" s="31" t="s">
        <v>15</v>
      </c>
      <c r="C13" s="23" t="s">
        <v>106</v>
      </c>
      <c r="D13" s="24">
        <f>8*2</f>
        <v>16</v>
      </c>
      <c r="E13" s="14"/>
      <c r="F13" s="15">
        <f t="shared" ref="F13:F19" si="0">D13*E13</f>
        <v>0</v>
      </c>
    </row>
    <row r="14" spans="1:9" ht="37.5">
      <c r="A14" s="17" t="s">
        <v>16</v>
      </c>
      <c r="B14" s="31" t="s">
        <v>17</v>
      </c>
      <c r="C14" s="23" t="s">
        <v>116</v>
      </c>
      <c r="D14" s="20">
        <v>9</v>
      </c>
      <c r="E14" s="14"/>
      <c r="F14" s="15">
        <f t="shared" si="0"/>
        <v>0</v>
      </c>
    </row>
    <row r="15" spans="1:9">
      <c r="A15" s="17"/>
      <c r="B15" s="32"/>
      <c r="C15" s="23"/>
      <c r="D15" s="24"/>
      <c r="E15" s="14"/>
      <c r="F15" s="15"/>
    </row>
    <row r="16" spans="1:9" ht="13">
      <c r="A16" s="11" t="s">
        <v>18</v>
      </c>
      <c r="B16" s="22" t="s">
        <v>19</v>
      </c>
      <c r="C16" s="23"/>
      <c r="D16" s="24"/>
      <c r="E16" s="14"/>
      <c r="F16" s="15"/>
    </row>
    <row r="17" spans="1:8">
      <c r="A17" s="17"/>
      <c r="B17" s="32"/>
      <c r="C17" s="23"/>
      <c r="D17" s="24"/>
      <c r="E17" s="14"/>
      <c r="F17" s="15"/>
    </row>
    <row r="18" spans="1:8">
      <c r="A18" s="17"/>
      <c r="B18" s="31"/>
      <c r="C18" s="23"/>
      <c r="D18" s="24"/>
      <c r="E18" s="14"/>
      <c r="F18" s="15"/>
    </row>
    <row r="19" spans="1:8" ht="25">
      <c r="A19" s="17" t="s">
        <v>20</v>
      </c>
      <c r="B19" s="31" t="s">
        <v>21</v>
      </c>
      <c r="C19" s="23" t="s">
        <v>116</v>
      </c>
      <c r="D19" s="20">
        <v>9</v>
      </c>
      <c r="E19" s="14"/>
      <c r="F19" s="15">
        <f t="shared" si="0"/>
        <v>0</v>
      </c>
    </row>
    <row r="20" spans="1:8">
      <c r="A20" s="17"/>
      <c r="B20" s="31"/>
      <c r="C20" s="23"/>
      <c r="D20" s="24"/>
      <c r="E20" s="14"/>
      <c r="F20" s="15"/>
    </row>
    <row r="21" spans="1:8">
      <c r="A21" s="17" t="s">
        <v>22</v>
      </c>
      <c r="B21" s="31" t="s">
        <v>23</v>
      </c>
      <c r="C21" s="23" t="s">
        <v>13</v>
      </c>
      <c r="D21" s="20">
        <v>1</v>
      </c>
      <c r="E21" s="14"/>
      <c r="F21" s="15">
        <f>D21*E21</f>
        <v>0</v>
      </c>
    </row>
    <row r="22" spans="1:8">
      <c r="A22" s="17"/>
      <c r="B22" s="32"/>
      <c r="C22" s="23"/>
      <c r="D22" s="24"/>
      <c r="E22" s="14"/>
      <c r="F22" s="15"/>
    </row>
    <row r="23" spans="1:8">
      <c r="A23" s="17"/>
      <c r="B23" s="18"/>
      <c r="C23" s="23"/>
      <c r="D23" s="24"/>
      <c r="E23" s="14"/>
      <c r="F23" s="15"/>
    </row>
    <row r="24" spans="1:8" s="41" customFormat="1" ht="13.5" thickBot="1">
      <c r="A24" s="33"/>
      <c r="B24" s="34" t="s">
        <v>24</v>
      </c>
      <c r="C24" s="35"/>
      <c r="D24" s="36"/>
      <c r="E24" s="37"/>
      <c r="F24" s="38">
        <f>SUM(F11:F23)</f>
        <v>0</v>
      </c>
      <c r="G24" s="39"/>
      <c r="H24" s="40"/>
    </row>
    <row r="25" spans="1:8" ht="13" thickBot="1"/>
    <row r="26" spans="1:8" ht="32" customHeight="1" thickBot="1">
      <c r="A26" s="290" t="s">
        <v>118</v>
      </c>
      <c r="B26" s="291"/>
      <c r="C26" s="291"/>
      <c r="D26" s="291"/>
      <c r="E26" s="291"/>
      <c r="F26" s="292"/>
    </row>
    <row r="27" spans="1:8" ht="13">
      <c r="A27" s="45"/>
      <c r="B27" s="293" t="s">
        <v>1</v>
      </c>
      <c r="C27" s="294"/>
      <c r="D27" s="294"/>
      <c r="E27" s="294"/>
      <c r="F27" s="295"/>
    </row>
    <row r="28" spans="1:8" ht="13">
      <c r="A28" s="6" t="s">
        <v>2</v>
      </c>
      <c r="B28" s="7" t="s">
        <v>3</v>
      </c>
      <c r="C28" s="7" t="s">
        <v>4</v>
      </c>
      <c r="D28" s="8" t="s">
        <v>5</v>
      </c>
      <c r="E28" s="46" t="s">
        <v>6</v>
      </c>
      <c r="F28" s="10" t="s">
        <v>7</v>
      </c>
    </row>
    <row r="29" spans="1:8" ht="13">
      <c r="A29" s="11"/>
      <c r="B29" s="7"/>
      <c r="C29" s="12"/>
      <c r="D29" s="13"/>
      <c r="E29" s="47"/>
      <c r="F29" s="15"/>
    </row>
    <row r="30" spans="1:8" ht="26">
      <c r="A30" s="11" t="s">
        <v>8</v>
      </c>
      <c r="B30" s="16" t="s">
        <v>119</v>
      </c>
      <c r="C30" s="12"/>
      <c r="D30" s="13"/>
      <c r="E30" s="47"/>
      <c r="F30" s="15"/>
    </row>
    <row r="31" spans="1:8" ht="13">
      <c r="A31" s="11"/>
      <c r="B31" s="7"/>
      <c r="C31" s="12"/>
      <c r="D31" s="13"/>
      <c r="E31" s="47"/>
      <c r="F31" s="15"/>
    </row>
    <row r="32" spans="1:8">
      <c r="A32" s="17"/>
      <c r="B32" s="18"/>
      <c r="C32" s="19"/>
      <c r="D32" s="20"/>
      <c r="E32" s="48"/>
      <c r="F32" s="15"/>
    </row>
    <row r="33" spans="1:6" ht="13">
      <c r="A33" s="11" t="s">
        <v>9</v>
      </c>
      <c r="B33" s="22" t="s">
        <v>10</v>
      </c>
      <c r="C33" s="23"/>
      <c r="D33" s="24"/>
      <c r="E33" s="48"/>
      <c r="F33" s="15"/>
    </row>
    <row r="34" spans="1:6" ht="13">
      <c r="A34" s="17"/>
      <c r="B34" s="27"/>
      <c r="C34" s="23"/>
      <c r="D34" s="24"/>
      <c r="E34" s="48"/>
      <c r="F34" s="15"/>
    </row>
    <row r="35" spans="1:6">
      <c r="A35" s="17" t="s">
        <v>11</v>
      </c>
      <c r="B35" s="29" t="s">
        <v>12</v>
      </c>
      <c r="C35" s="23" t="s">
        <v>105</v>
      </c>
      <c r="D35" s="20">
        <f>50*2*1</f>
        <v>100</v>
      </c>
      <c r="E35" s="48"/>
      <c r="F35" s="15">
        <f>D35*E35</f>
        <v>0</v>
      </c>
    </row>
    <row r="36" spans="1:6">
      <c r="A36" s="17"/>
      <c r="B36" s="29"/>
      <c r="C36" s="23"/>
      <c r="D36" s="24"/>
      <c r="E36" s="48"/>
      <c r="F36" s="15"/>
    </row>
    <row r="37" spans="1:6">
      <c r="A37" s="17" t="s">
        <v>14</v>
      </c>
      <c r="B37" s="31" t="s">
        <v>15</v>
      </c>
      <c r="C37" s="23" t="s">
        <v>13</v>
      </c>
      <c r="D37" s="24">
        <v>1</v>
      </c>
      <c r="E37" s="48"/>
      <c r="F37" s="15">
        <f>D37*E37</f>
        <v>0</v>
      </c>
    </row>
    <row r="38" spans="1:6">
      <c r="A38" s="17"/>
      <c r="B38" s="31"/>
      <c r="C38" s="23"/>
      <c r="D38" s="24"/>
      <c r="E38" s="48"/>
      <c r="F38" s="15"/>
    </row>
    <row r="39" spans="1:6">
      <c r="A39" s="17" t="s">
        <v>16</v>
      </c>
      <c r="B39" s="31" t="s">
        <v>120</v>
      </c>
      <c r="C39" s="23" t="s">
        <v>121</v>
      </c>
      <c r="D39" s="24">
        <v>15</v>
      </c>
      <c r="E39" s="48"/>
      <c r="F39" s="15">
        <f>D39*E39</f>
        <v>0</v>
      </c>
    </row>
    <row r="40" spans="1:6">
      <c r="A40" s="17"/>
      <c r="B40" s="31"/>
      <c r="C40" s="23"/>
      <c r="D40" s="24"/>
      <c r="E40" s="48"/>
      <c r="F40" s="15"/>
    </row>
    <row r="41" spans="1:6" ht="37.5">
      <c r="A41" s="17" t="s">
        <v>122</v>
      </c>
      <c r="B41" s="31" t="s">
        <v>17</v>
      </c>
      <c r="C41" s="23" t="s">
        <v>13</v>
      </c>
      <c r="D41" s="20">
        <v>1</v>
      </c>
      <c r="E41" s="48"/>
      <c r="F41" s="15">
        <f>D41*E41</f>
        <v>0</v>
      </c>
    </row>
    <row r="42" spans="1:6">
      <c r="A42" s="17"/>
      <c r="B42" s="32"/>
      <c r="C42" s="23"/>
      <c r="D42" s="24"/>
      <c r="E42" s="48"/>
      <c r="F42" s="15"/>
    </row>
    <row r="43" spans="1:6" ht="13">
      <c r="A43" s="11" t="s">
        <v>18</v>
      </c>
      <c r="B43" s="22" t="s">
        <v>19</v>
      </c>
      <c r="C43" s="23"/>
      <c r="D43" s="24"/>
      <c r="E43" s="48"/>
      <c r="F43" s="15"/>
    </row>
    <row r="44" spans="1:6">
      <c r="A44" s="17"/>
      <c r="B44" s="32"/>
      <c r="C44" s="23"/>
      <c r="D44" s="24"/>
      <c r="E44" s="48"/>
      <c r="F44" s="15"/>
    </row>
    <row r="45" spans="1:6">
      <c r="A45" s="17"/>
      <c r="B45" s="31"/>
      <c r="C45" s="23"/>
      <c r="D45" s="24"/>
      <c r="E45" s="48"/>
      <c r="F45" s="15"/>
    </row>
    <row r="46" spans="1:6" ht="25">
      <c r="A46" s="17" t="s">
        <v>20</v>
      </c>
      <c r="B46" s="31" t="s">
        <v>21</v>
      </c>
      <c r="C46" s="23" t="s">
        <v>13</v>
      </c>
      <c r="D46" s="20">
        <v>1</v>
      </c>
      <c r="E46" s="48"/>
      <c r="F46" s="15">
        <f>D46*E46</f>
        <v>0</v>
      </c>
    </row>
    <row r="47" spans="1:6">
      <c r="A47" s="17"/>
      <c r="B47" s="31"/>
      <c r="C47" s="23"/>
      <c r="D47" s="20"/>
      <c r="E47" s="48"/>
      <c r="F47" s="15"/>
    </row>
    <row r="48" spans="1:6">
      <c r="A48" s="17" t="s">
        <v>22</v>
      </c>
      <c r="B48" s="31" t="s">
        <v>123</v>
      </c>
      <c r="C48" s="23" t="s">
        <v>121</v>
      </c>
      <c r="D48" s="20">
        <v>15</v>
      </c>
      <c r="E48" s="48"/>
      <c r="F48" s="15">
        <f>D48*E48</f>
        <v>0</v>
      </c>
    </row>
    <row r="49" spans="1:6">
      <c r="A49" s="17"/>
      <c r="B49" s="31"/>
      <c r="C49" s="23"/>
      <c r="D49" s="24"/>
      <c r="E49" s="48"/>
      <c r="F49" s="15"/>
    </row>
    <row r="50" spans="1:6">
      <c r="A50" s="17" t="s">
        <v>124</v>
      </c>
      <c r="B50" s="31" t="s">
        <v>23</v>
      </c>
      <c r="C50" s="23" t="s">
        <v>13</v>
      </c>
      <c r="D50" s="20">
        <v>1</v>
      </c>
      <c r="E50" s="48"/>
      <c r="F50" s="15">
        <f>D50*E50</f>
        <v>0</v>
      </c>
    </row>
    <row r="51" spans="1:6">
      <c r="A51" s="17"/>
      <c r="B51" s="32"/>
      <c r="C51" s="23"/>
      <c r="D51" s="24"/>
      <c r="E51" s="48"/>
      <c r="F51" s="15"/>
    </row>
    <row r="52" spans="1:6" ht="13" thickBot="1">
      <c r="A52" s="49"/>
      <c r="B52" s="50"/>
      <c r="C52" s="51"/>
      <c r="D52" s="52"/>
      <c r="E52" s="53"/>
      <c r="F52" s="54"/>
    </row>
    <row r="53" spans="1:6" ht="13.5" thickBot="1">
      <c r="A53" s="55"/>
      <c r="B53" s="56" t="s">
        <v>24</v>
      </c>
      <c r="C53" s="57"/>
      <c r="D53" s="58"/>
      <c r="E53" s="59"/>
      <c r="F53" s="60">
        <f>SUM(F35:F50)</f>
        <v>0</v>
      </c>
    </row>
    <row r="54" spans="1:6" ht="13" thickBot="1"/>
    <row r="55" spans="1:6" ht="32" customHeight="1" thickBot="1">
      <c r="A55" s="290" t="s">
        <v>222</v>
      </c>
      <c r="B55" s="291"/>
      <c r="C55" s="291"/>
      <c r="D55" s="291"/>
      <c r="E55" s="291"/>
      <c r="F55" s="292"/>
    </row>
    <row r="56" spans="1:6" ht="13">
      <c r="A56" s="3"/>
      <c r="B56" s="293" t="s">
        <v>1</v>
      </c>
      <c r="C56" s="294"/>
      <c r="D56" s="294"/>
      <c r="E56" s="294"/>
      <c r="F56" s="295"/>
    </row>
    <row r="57" spans="1:6" ht="13">
      <c r="A57" s="6" t="s">
        <v>2</v>
      </c>
      <c r="B57" s="7" t="s">
        <v>3</v>
      </c>
      <c r="C57" s="7" t="s">
        <v>4</v>
      </c>
      <c r="D57" s="8" t="s">
        <v>5</v>
      </c>
      <c r="E57" s="46" t="s">
        <v>6</v>
      </c>
      <c r="F57" s="10" t="s">
        <v>7</v>
      </c>
    </row>
    <row r="58" spans="1:6">
      <c r="A58" s="61"/>
      <c r="B58" s="62"/>
      <c r="C58" s="62"/>
      <c r="D58" s="62"/>
      <c r="E58" s="14"/>
      <c r="F58" s="15"/>
    </row>
    <row r="59" spans="1:6" ht="26">
      <c r="A59" s="63"/>
      <c r="B59" s="64" t="s">
        <v>223</v>
      </c>
      <c r="C59" s="62"/>
      <c r="D59" s="62"/>
      <c r="E59" s="14"/>
      <c r="F59" s="15"/>
    </row>
    <row r="60" spans="1:6">
      <c r="A60" s="63"/>
      <c r="B60" s="62"/>
      <c r="C60" s="62"/>
      <c r="D60" s="62"/>
      <c r="E60" s="14"/>
      <c r="F60" s="15"/>
    </row>
    <row r="61" spans="1:6" ht="13">
      <c r="A61" s="63"/>
      <c r="B61" s="65" t="s">
        <v>224</v>
      </c>
      <c r="C61" s="62"/>
      <c r="D61" s="62"/>
      <c r="E61" s="14"/>
      <c r="F61" s="15"/>
    </row>
    <row r="62" spans="1:6">
      <c r="A62" s="63"/>
      <c r="B62" s="62"/>
      <c r="C62" s="62"/>
      <c r="D62" s="62"/>
      <c r="E62" s="14"/>
      <c r="F62" s="15"/>
    </row>
    <row r="63" spans="1:6" ht="37.5">
      <c r="A63" s="63" t="s">
        <v>240</v>
      </c>
      <c r="B63" s="66" t="s">
        <v>225</v>
      </c>
      <c r="C63" s="67" t="s">
        <v>226</v>
      </c>
      <c r="D63" s="68"/>
      <c r="E63" s="69">
        <v>0.1</v>
      </c>
      <c r="F63" s="70"/>
    </row>
    <row r="64" spans="1:6">
      <c r="A64" s="63"/>
      <c r="B64" s="66"/>
      <c r="C64" s="67"/>
      <c r="D64" s="68"/>
      <c r="E64" s="69"/>
      <c r="F64" s="70"/>
    </row>
    <row r="65" spans="1:6" ht="25">
      <c r="A65" s="63" t="s">
        <v>241</v>
      </c>
      <c r="B65" s="66" t="s">
        <v>227</v>
      </c>
      <c r="C65" s="67" t="s">
        <v>226</v>
      </c>
      <c r="D65" s="68"/>
      <c r="E65" s="69">
        <v>0.05</v>
      </c>
      <c r="F65" s="70"/>
    </row>
    <row r="66" spans="1:6">
      <c r="A66" s="63"/>
      <c r="B66" s="62"/>
      <c r="C66" s="67"/>
      <c r="D66" s="68"/>
      <c r="E66" s="69"/>
      <c r="F66" s="70"/>
    </row>
    <row r="67" spans="1:6">
      <c r="A67" s="63" t="s">
        <v>242</v>
      </c>
      <c r="B67" s="62" t="s">
        <v>228</v>
      </c>
      <c r="C67" s="67" t="s">
        <v>226</v>
      </c>
      <c r="D67" s="68"/>
      <c r="E67" s="69">
        <v>0.04</v>
      </c>
      <c r="F67" s="70"/>
    </row>
    <row r="68" spans="1:6">
      <c r="A68" s="63"/>
      <c r="B68" s="62"/>
      <c r="C68" s="67"/>
      <c r="D68" s="68"/>
      <c r="E68" s="69"/>
      <c r="F68" s="70"/>
    </row>
    <row r="69" spans="1:6">
      <c r="A69" s="63" t="s">
        <v>243</v>
      </c>
      <c r="B69" s="62" t="s">
        <v>229</v>
      </c>
      <c r="C69" s="67" t="s">
        <v>226</v>
      </c>
      <c r="D69" s="68"/>
      <c r="E69" s="69">
        <v>0.05</v>
      </c>
      <c r="F69" s="70"/>
    </row>
    <row r="70" spans="1:6">
      <c r="A70" s="63"/>
      <c r="B70" s="62"/>
      <c r="C70" s="67"/>
      <c r="D70" s="68"/>
      <c r="E70" s="14"/>
      <c r="F70" s="15"/>
    </row>
    <row r="71" spans="1:6">
      <c r="A71" s="63" t="s">
        <v>244</v>
      </c>
      <c r="B71" s="62" t="s">
        <v>230</v>
      </c>
      <c r="C71" s="67" t="s">
        <v>13</v>
      </c>
      <c r="D71" s="68">
        <v>1</v>
      </c>
      <c r="E71" s="14"/>
      <c r="F71" s="15">
        <f>D71*E71</f>
        <v>0</v>
      </c>
    </row>
    <row r="72" spans="1:6">
      <c r="A72" s="63"/>
      <c r="B72" s="62"/>
      <c r="C72" s="67"/>
      <c r="D72" s="68"/>
      <c r="E72" s="14"/>
      <c r="F72" s="15"/>
    </row>
    <row r="73" spans="1:6">
      <c r="A73" s="63" t="s">
        <v>245</v>
      </c>
      <c r="B73" s="62" t="s">
        <v>231</v>
      </c>
      <c r="C73" s="67" t="s">
        <v>232</v>
      </c>
      <c r="D73" s="68">
        <v>0</v>
      </c>
      <c r="E73" s="14"/>
      <c r="F73" s="15">
        <f>D73*E73</f>
        <v>0</v>
      </c>
    </row>
    <row r="74" spans="1:6">
      <c r="A74" s="63"/>
      <c r="B74" s="62"/>
      <c r="C74" s="67"/>
      <c r="D74" s="68"/>
      <c r="E74" s="14"/>
      <c r="F74" s="15"/>
    </row>
    <row r="75" spans="1:6">
      <c r="A75" s="63" t="s">
        <v>246</v>
      </c>
      <c r="B75" s="62" t="s">
        <v>233</v>
      </c>
      <c r="C75" s="67" t="s">
        <v>234</v>
      </c>
      <c r="D75" s="68">
        <v>0</v>
      </c>
      <c r="E75" s="14"/>
      <c r="F75" s="15">
        <f>D75*E75</f>
        <v>0</v>
      </c>
    </row>
    <row r="76" spans="1:6">
      <c r="A76" s="63"/>
      <c r="B76" s="62"/>
      <c r="C76" s="67"/>
      <c r="D76" s="68"/>
      <c r="E76" s="14"/>
      <c r="F76" s="15"/>
    </row>
    <row r="77" spans="1:6">
      <c r="A77" s="63" t="s">
        <v>247</v>
      </c>
      <c r="B77" s="62" t="s">
        <v>235</v>
      </c>
      <c r="C77" s="67" t="s">
        <v>234</v>
      </c>
      <c r="D77" s="68">
        <v>0</v>
      </c>
      <c r="E77" s="14"/>
      <c r="F77" s="15">
        <f>D77*E77</f>
        <v>0</v>
      </c>
    </row>
    <row r="78" spans="1:6">
      <c r="A78" s="63"/>
      <c r="B78" s="62"/>
      <c r="C78" s="67"/>
      <c r="D78" s="68"/>
      <c r="E78" s="14"/>
      <c r="F78" s="15"/>
    </row>
    <row r="79" spans="1:6">
      <c r="A79" s="63" t="s">
        <v>248</v>
      </c>
      <c r="B79" s="62" t="s">
        <v>123</v>
      </c>
      <c r="C79" s="67" t="s">
        <v>121</v>
      </c>
      <c r="D79" s="68">
        <v>32</v>
      </c>
      <c r="E79" s="14"/>
      <c r="F79" s="15">
        <f>D79*E79</f>
        <v>0</v>
      </c>
    </row>
    <row r="80" spans="1:6">
      <c r="A80" s="63"/>
      <c r="B80" s="62"/>
      <c r="C80" s="67"/>
      <c r="D80" s="68"/>
      <c r="E80" s="14"/>
      <c r="F80" s="15"/>
    </row>
    <row r="81" spans="1:6">
      <c r="A81" s="63" t="s">
        <v>249</v>
      </c>
      <c r="B81" s="62" t="s">
        <v>236</v>
      </c>
      <c r="C81" s="67" t="s">
        <v>234</v>
      </c>
      <c r="D81" s="68">
        <v>4</v>
      </c>
      <c r="E81" s="14"/>
      <c r="F81" s="15">
        <f>D81*E81</f>
        <v>0</v>
      </c>
    </row>
    <row r="82" spans="1:6">
      <c r="A82" s="63"/>
      <c r="B82" s="62"/>
      <c r="C82" s="67"/>
      <c r="D82" s="68"/>
      <c r="E82" s="14"/>
      <c r="F82" s="15"/>
    </row>
    <row r="83" spans="1:6" ht="13">
      <c r="A83" s="63"/>
      <c r="B83" s="65" t="s">
        <v>237</v>
      </c>
      <c r="C83" s="67"/>
      <c r="D83" s="68"/>
      <c r="E83" s="14"/>
      <c r="F83" s="15"/>
    </row>
    <row r="84" spans="1:6">
      <c r="A84" s="63"/>
      <c r="B84" s="62"/>
      <c r="C84" s="67"/>
      <c r="D84" s="68"/>
      <c r="E84" s="14"/>
      <c r="F84" s="15"/>
    </row>
    <row r="85" spans="1:6">
      <c r="A85" s="63" t="s">
        <v>250</v>
      </c>
      <c r="B85" s="62" t="s">
        <v>238</v>
      </c>
      <c r="C85" s="67" t="s">
        <v>105</v>
      </c>
      <c r="D85" s="68">
        <v>0</v>
      </c>
      <c r="E85" s="14"/>
      <c r="F85" s="15">
        <f>D85*E85</f>
        <v>0</v>
      </c>
    </row>
    <row r="86" spans="1:6">
      <c r="A86" s="63"/>
      <c r="B86" s="62"/>
      <c r="C86" s="67"/>
      <c r="D86" s="68"/>
      <c r="E86" s="14"/>
      <c r="F86" s="15"/>
    </row>
    <row r="87" spans="1:6" ht="13" thickBot="1">
      <c r="A87" s="71" t="s">
        <v>251</v>
      </c>
      <c r="B87" s="72" t="s">
        <v>239</v>
      </c>
      <c r="C87" s="73" t="s">
        <v>105</v>
      </c>
      <c r="D87" s="74">
        <v>4400</v>
      </c>
      <c r="E87" s="75"/>
      <c r="F87" s="54">
        <f>D87*E87</f>
        <v>0</v>
      </c>
    </row>
    <row r="88" spans="1:6" ht="13.5" thickBot="1">
      <c r="A88" s="76"/>
      <c r="B88" s="77" t="s">
        <v>221</v>
      </c>
      <c r="C88" s="78"/>
      <c r="D88" s="78"/>
      <c r="E88" s="79"/>
      <c r="F88" s="80">
        <f>SUM(F71:F87)</f>
        <v>0</v>
      </c>
    </row>
  </sheetData>
  <sheetProtection selectLockedCells="1" selectUnlockedCells="1"/>
  <mergeCells count="7">
    <mergeCell ref="A55:F55"/>
    <mergeCell ref="B56:F56"/>
    <mergeCell ref="B27:F27"/>
    <mergeCell ref="E3:F3"/>
    <mergeCell ref="A1:F1"/>
    <mergeCell ref="B2:F2"/>
    <mergeCell ref="A26:F26"/>
  </mergeCells>
  <pageMargins left="0.7" right="0.7" top="0.75" bottom="0.75" header="0.3" footer="0.3"/>
  <pageSetup scale="7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FA0F5-7623-4011-A843-0AC8B3B5CCF6}">
  <sheetPr>
    <pageSetUpPr fitToPage="1"/>
  </sheetPr>
  <dimension ref="A1:BM815"/>
  <sheetViews>
    <sheetView zoomScale="60" zoomScaleNormal="60" workbookViewId="0">
      <pane xSplit="5" ySplit="3" topLeftCell="F813" activePane="bottomRight" state="frozen"/>
      <selection pane="topRight" activeCell="F1" sqref="F1"/>
      <selection pane="bottomLeft" activeCell="A4" sqref="A4"/>
      <selection pane="bottomRight" sqref="A1:F815"/>
    </sheetView>
  </sheetViews>
  <sheetFormatPr defaultRowHeight="12.5"/>
  <cols>
    <col min="1" max="1" width="8.7265625" style="146" customWidth="1"/>
    <col min="2" max="2" width="73.6328125" style="95" customWidth="1"/>
    <col min="3" max="4" width="12.7265625" style="146" customWidth="1"/>
    <col min="5" max="6" width="18.90625" style="187" customWidth="1"/>
    <col min="7" max="7" width="28.26953125" style="126" bestFit="1" customWidth="1"/>
    <col min="8" max="16384" width="8.7265625" style="95"/>
  </cols>
  <sheetData>
    <row r="1" spans="1:7" s="240" customFormat="1" ht="27" customHeight="1" thickBot="1">
      <c r="A1" s="306" t="s">
        <v>0</v>
      </c>
      <c r="B1" s="307"/>
      <c r="C1" s="307"/>
      <c r="D1" s="307"/>
      <c r="E1" s="307"/>
      <c r="F1" s="308"/>
      <c r="G1" s="239"/>
    </row>
    <row r="2" spans="1:7" s="88" customFormat="1" ht="13.5" thickBot="1">
      <c r="A2" s="81" t="s">
        <v>25</v>
      </c>
      <c r="B2" s="82" t="s">
        <v>3</v>
      </c>
      <c r="C2" s="83" t="s">
        <v>26</v>
      </c>
      <c r="D2" s="84" t="s">
        <v>27</v>
      </c>
      <c r="E2" s="85" t="s">
        <v>28</v>
      </c>
      <c r="F2" s="86" t="s">
        <v>29</v>
      </c>
      <c r="G2" s="87"/>
    </row>
    <row r="3" spans="1:7" ht="13">
      <c r="A3" s="89"/>
      <c r="B3" s="90"/>
      <c r="C3" s="91"/>
      <c r="D3" s="92"/>
      <c r="E3" s="93"/>
      <c r="F3" s="94"/>
      <c r="G3" s="87"/>
    </row>
    <row r="4" spans="1:7" ht="13">
      <c r="A4" s="96"/>
      <c r="B4" s="97" t="s">
        <v>30</v>
      </c>
      <c r="C4" s="98"/>
      <c r="D4" s="99"/>
      <c r="E4" s="100"/>
      <c r="F4" s="101"/>
      <c r="G4" s="102"/>
    </row>
    <row r="5" spans="1:7" ht="13">
      <c r="A5" s="96"/>
      <c r="B5" s="97"/>
      <c r="C5" s="98"/>
      <c r="D5" s="99"/>
      <c r="E5" s="100"/>
      <c r="F5" s="101"/>
      <c r="G5" s="102"/>
    </row>
    <row r="6" spans="1:7" ht="13">
      <c r="A6" s="96"/>
      <c r="B6" s="103" t="s">
        <v>31</v>
      </c>
      <c r="C6" s="98"/>
      <c r="D6" s="99"/>
      <c r="E6" s="100"/>
      <c r="F6" s="101"/>
      <c r="G6" s="104"/>
    </row>
    <row r="7" spans="1:7" ht="13">
      <c r="A7" s="96"/>
      <c r="B7" s="103"/>
      <c r="C7" s="98"/>
      <c r="D7" s="99"/>
      <c r="E7" s="100"/>
      <c r="F7" s="101"/>
      <c r="G7" s="104"/>
    </row>
    <row r="8" spans="1:7" ht="13">
      <c r="A8" s="96"/>
      <c r="B8" s="105" t="s">
        <v>32</v>
      </c>
      <c r="C8" s="98"/>
      <c r="D8" s="99"/>
      <c r="E8" s="100"/>
      <c r="F8" s="101"/>
      <c r="G8" s="106"/>
    </row>
    <row r="9" spans="1:7" ht="13">
      <c r="A9" s="96"/>
      <c r="B9" s="105"/>
      <c r="C9" s="98"/>
      <c r="D9" s="99"/>
      <c r="E9" s="100"/>
      <c r="F9" s="101"/>
      <c r="G9" s="106"/>
    </row>
    <row r="10" spans="1:7" ht="13">
      <c r="A10" s="96"/>
      <c r="B10" s="105" t="s">
        <v>33</v>
      </c>
      <c r="C10" s="98"/>
      <c r="D10" s="99"/>
      <c r="E10" s="100"/>
      <c r="F10" s="101"/>
      <c r="G10" s="106"/>
    </row>
    <row r="11" spans="1:7" ht="13">
      <c r="A11" s="96"/>
      <c r="B11" s="107"/>
      <c r="C11" s="98"/>
      <c r="D11" s="99"/>
      <c r="E11" s="100"/>
      <c r="F11" s="101"/>
      <c r="G11" s="108"/>
    </row>
    <row r="12" spans="1:7" ht="87.5">
      <c r="A12" s="96"/>
      <c r="B12" s="109" t="s">
        <v>34</v>
      </c>
      <c r="C12" s="98"/>
      <c r="D12" s="99"/>
      <c r="E12" s="100"/>
      <c r="F12" s="101"/>
      <c r="G12" s="110"/>
    </row>
    <row r="13" spans="1:7" ht="13">
      <c r="A13" s="96"/>
      <c r="B13" s="97"/>
      <c r="C13" s="98"/>
      <c r="D13" s="99"/>
      <c r="E13" s="100"/>
      <c r="F13" s="101"/>
      <c r="G13" s="102"/>
    </row>
    <row r="14" spans="1:7" ht="13">
      <c r="A14" s="96"/>
      <c r="B14" s="105" t="s">
        <v>35</v>
      </c>
      <c r="C14" s="98"/>
      <c r="D14" s="99"/>
      <c r="E14" s="100"/>
      <c r="F14" s="101"/>
      <c r="G14" s="106"/>
    </row>
    <row r="15" spans="1:7" ht="13">
      <c r="A15" s="96"/>
      <c r="B15" s="107"/>
      <c r="C15" s="98"/>
      <c r="D15" s="99"/>
      <c r="E15" s="100"/>
      <c r="F15" s="101"/>
      <c r="G15" s="108"/>
    </row>
    <row r="16" spans="1:7" ht="62.5">
      <c r="A16" s="96"/>
      <c r="B16" s="109" t="s">
        <v>36</v>
      </c>
      <c r="C16" s="98"/>
      <c r="D16" s="99"/>
      <c r="E16" s="100"/>
      <c r="F16" s="101"/>
      <c r="G16" s="110"/>
    </row>
    <row r="17" spans="1:7" ht="13">
      <c r="A17" s="96"/>
      <c r="B17" s="109"/>
      <c r="C17" s="98"/>
      <c r="D17" s="99"/>
      <c r="E17" s="100"/>
      <c r="F17" s="101"/>
      <c r="G17" s="110"/>
    </row>
    <row r="18" spans="1:7" ht="37.5">
      <c r="A18" s="96"/>
      <c r="B18" s="109" t="s">
        <v>37</v>
      </c>
      <c r="C18" s="98"/>
      <c r="D18" s="99"/>
      <c r="E18" s="100"/>
      <c r="F18" s="101"/>
      <c r="G18" s="110"/>
    </row>
    <row r="19" spans="1:7" ht="13">
      <c r="A19" s="96"/>
      <c r="B19" s="109"/>
      <c r="C19" s="98"/>
      <c r="D19" s="99"/>
      <c r="E19" s="100"/>
      <c r="F19" s="101"/>
      <c r="G19" s="110"/>
    </row>
    <row r="20" spans="1:7" ht="75">
      <c r="A20" s="96"/>
      <c r="B20" s="109" t="s">
        <v>38</v>
      </c>
      <c r="C20" s="98"/>
      <c r="D20" s="99"/>
      <c r="E20" s="100"/>
      <c r="F20" s="101"/>
      <c r="G20" s="110"/>
    </row>
    <row r="21" spans="1:7" ht="13">
      <c r="A21" s="96"/>
      <c r="B21" s="97"/>
      <c r="C21" s="98"/>
      <c r="D21" s="99"/>
      <c r="E21" s="100"/>
      <c r="F21" s="101"/>
      <c r="G21" s="102"/>
    </row>
    <row r="22" spans="1:7" ht="25">
      <c r="A22" s="96"/>
      <c r="B22" s="109" t="s">
        <v>39</v>
      </c>
      <c r="C22" s="98"/>
      <c r="D22" s="99"/>
      <c r="E22" s="100"/>
      <c r="F22" s="101"/>
      <c r="G22" s="110"/>
    </row>
    <row r="23" spans="1:7" ht="13">
      <c r="A23" s="96"/>
      <c r="B23" s="109"/>
      <c r="C23" s="98"/>
      <c r="D23" s="99"/>
      <c r="E23" s="100"/>
      <c r="F23" s="101"/>
      <c r="G23" s="110"/>
    </row>
    <row r="24" spans="1:7" ht="25">
      <c r="A24" s="96"/>
      <c r="B24" s="109" t="s">
        <v>40</v>
      </c>
      <c r="C24" s="98"/>
      <c r="D24" s="99"/>
      <c r="E24" s="100"/>
      <c r="F24" s="101"/>
      <c r="G24" s="110"/>
    </row>
    <row r="25" spans="1:7" ht="13">
      <c r="A25" s="96"/>
      <c r="B25" s="109"/>
      <c r="C25" s="98"/>
      <c r="D25" s="99"/>
      <c r="E25" s="100"/>
      <c r="F25" s="101"/>
      <c r="G25" s="110"/>
    </row>
    <row r="26" spans="1:7" ht="25">
      <c r="A26" s="96"/>
      <c r="B26" s="109" t="s">
        <v>41</v>
      </c>
      <c r="C26" s="98"/>
      <c r="D26" s="99"/>
      <c r="E26" s="100"/>
      <c r="F26" s="101"/>
      <c r="G26" s="110"/>
    </row>
    <row r="27" spans="1:7" ht="13">
      <c r="A27" s="96"/>
      <c r="B27" s="97"/>
      <c r="C27" s="98"/>
      <c r="D27" s="99"/>
      <c r="E27" s="100"/>
      <c r="F27" s="101"/>
      <c r="G27" s="102"/>
    </row>
    <row r="28" spans="1:7" ht="13">
      <c r="A28" s="96"/>
      <c r="B28" s="105" t="s">
        <v>42</v>
      </c>
      <c r="C28" s="98"/>
      <c r="D28" s="99"/>
      <c r="E28" s="100"/>
      <c r="F28" s="101"/>
      <c r="G28" s="106"/>
    </row>
    <row r="29" spans="1:7" ht="13">
      <c r="A29" s="96"/>
      <c r="B29" s="107"/>
      <c r="C29" s="98"/>
      <c r="D29" s="99"/>
      <c r="E29" s="100"/>
      <c r="F29" s="101"/>
      <c r="G29" s="108"/>
    </row>
    <row r="30" spans="1:7" ht="62.5">
      <c r="A30" s="96"/>
      <c r="B30" s="107" t="s">
        <v>43</v>
      </c>
      <c r="C30" s="98"/>
      <c r="D30" s="99"/>
      <c r="E30" s="100"/>
      <c r="F30" s="101"/>
      <c r="G30" s="108"/>
    </row>
    <row r="31" spans="1:7" ht="13">
      <c r="A31" s="96"/>
      <c r="B31" s="107"/>
      <c r="C31" s="98"/>
      <c r="D31" s="99"/>
      <c r="E31" s="100"/>
      <c r="F31" s="101"/>
      <c r="G31" s="108"/>
    </row>
    <row r="32" spans="1:7" ht="13">
      <c r="A32" s="96"/>
      <c r="B32" s="105" t="s">
        <v>44</v>
      </c>
      <c r="C32" s="98"/>
      <c r="D32" s="99"/>
      <c r="E32" s="100"/>
      <c r="F32" s="101"/>
      <c r="G32" s="106"/>
    </row>
    <row r="33" spans="1:7" ht="13">
      <c r="A33" s="96"/>
      <c r="B33" s="107"/>
      <c r="C33" s="98"/>
      <c r="D33" s="99"/>
      <c r="E33" s="100"/>
      <c r="F33" s="101"/>
      <c r="G33" s="108"/>
    </row>
    <row r="34" spans="1:7" ht="100">
      <c r="A34" s="96"/>
      <c r="B34" s="109" t="s">
        <v>45</v>
      </c>
      <c r="C34" s="98"/>
      <c r="D34" s="99"/>
      <c r="E34" s="100"/>
      <c r="F34" s="101"/>
      <c r="G34" s="110"/>
    </row>
    <row r="35" spans="1:7" ht="13">
      <c r="A35" s="96"/>
      <c r="B35" s="97"/>
      <c r="C35" s="98"/>
      <c r="D35" s="99"/>
      <c r="E35" s="100"/>
      <c r="F35" s="101"/>
      <c r="G35" s="102"/>
    </row>
    <row r="36" spans="1:7" ht="13">
      <c r="A36" s="96"/>
      <c r="B36" s="105" t="s">
        <v>46</v>
      </c>
      <c r="C36" s="98"/>
      <c r="D36" s="99"/>
      <c r="E36" s="100"/>
      <c r="F36" s="101"/>
      <c r="G36" s="106"/>
    </row>
    <row r="37" spans="1:7" ht="13">
      <c r="A37" s="96"/>
      <c r="B37" s="107"/>
      <c r="C37" s="98"/>
      <c r="D37" s="99"/>
      <c r="E37" s="100"/>
      <c r="F37" s="101"/>
      <c r="G37" s="108"/>
    </row>
    <row r="38" spans="1:7" ht="112.5">
      <c r="A38" s="96"/>
      <c r="B38" s="107" t="s">
        <v>47</v>
      </c>
      <c r="C38" s="98"/>
      <c r="D38" s="99"/>
      <c r="E38" s="100"/>
      <c r="F38" s="101"/>
      <c r="G38" s="108"/>
    </row>
    <row r="39" spans="1:7" ht="13">
      <c r="A39" s="96"/>
      <c r="B39" s="107"/>
      <c r="C39" s="98"/>
      <c r="D39" s="99"/>
      <c r="E39" s="100"/>
      <c r="F39" s="101"/>
      <c r="G39" s="108"/>
    </row>
    <row r="40" spans="1:7" ht="13">
      <c r="A40" s="96"/>
      <c r="B40" s="105" t="s">
        <v>48</v>
      </c>
      <c r="C40" s="98"/>
      <c r="D40" s="99"/>
      <c r="E40" s="100"/>
      <c r="F40" s="101"/>
      <c r="G40" s="106"/>
    </row>
    <row r="41" spans="1:7" ht="13">
      <c r="A41" s="96"/>
      <c r="B41" s="107"/>
      <c r="C41" s="98"/>
      <c r="D41" s="99"/>
      <c r="E41" s="100"/>
      <c r="F41" s="101"/>
      <c r="G41" s="108"/>
    </row>
    <row r="42" spans="1:7" ht="37.5">
      <c r="A42" s="96"/>
      <c r="B42" s="107" t="s">
        <v>49</v>
      </c>
      <c r="C42" s="98"/>
      <c r="D42" s="99"/>
      <c r="E42" s="100"/>
      <c r="F42" s="101"/>
      <c r="G42" s="108"/>
    </row>
    <row r="43" spans="1:7" ht="13">
      <c r="A43" s="96"/>
      <c r="B43" s="97"/>
      <c r="C43" s="98"/>
      <c r="D43" s="99"/>
      <c r="E43" s="100"/>
      <c r="F43" s="101"/>
      <c r="G43" s="102"/>
    </row>
    <row r="44" spans="1:7" ht="13">
      <c r="A44" s="111"/>
      <c r="B44" s="112" t="s">
        <v>50</v>
      </c>
      <c r="C44" s="113"/>
      <c r="D44" s="111"/>
      <c r="E44" s="93"/>
      <c r="F44" s="101"/>
      <c r="G44" s="104"/>
    </row>
    <row r="45" spans="1:7" ht="13">
      <c r="A45" s="111"/>
      <c r="B45" s="112"/>
      <c r="C45" s="113"/>
      <c r="D45" s="111"/>
      <c r="E45" s="93"/>
      <c r="F45" s="101"/>
      <c r="G45" s="104"/>
    </row>
    <row r="46" spans="1:7" ht="13.5" thickBot="1">
      <c r="A46" s="114"/>
      <c r="B46" s="115"/>
      <c r="C46" s="116"/>
      <c r="D46" s="117"/>
      <c r="E46" s="118"/>
      <c r="F46" s="119"/>
      <c r="G46" s="104"/>
    </row>
    <row r="47" spans="1:7" ht="13.5" thickBot="1">
      <c r="A47" s="114"/>
      <c r="B47" s="120" t="s">
        <v>51</v>
      </c>
      <c r="C47" s="121"/>
      <c r="D47" s="122"/>
      <c r="E47" s="123"/>
      <c r="F47" s="124"/>
      <c r="G47" s="104"/>
    </row>
    <row r="48" spans="1:7" ht="13">
      <c r="A48" s="114"/>
      <c r="B48" s="125"/>
      <c r="C48" s="113"/>
      <c r="D48" s="111"/>
      <c r="E48" s="93"/>
      <c r="F48" s="94"/>
    </row>
    <row r="49" spans="1:7" ht="14.5">
      <c r="A49" s="114"/>
      <c r="B49" s="127" t="s">
        <v>52</v>
      </c>
      <c r="C49" s="128" t="s">
        <v>348</v>
      </c>
      <c r="D49" s="129">
        <f>4.2*5.4</f>
        <v>22.680000000000003</v>
      </c>
      <c r="E49" s="100"/>
      <c r="F49" s="101">
        <f>D49*E49</f>
        <v>0</v>
      </c>
    </row>
    <row r="50" spans="1:7" ht="13">
      <c r="A50" s="114"/>
      <c r="B50" s="127"/>
      <c r="C50" s="130"/>
      <c r="D50" s="131"/>
      <c r="E50" s="100"/>
      <c r="F50" s="101">
        <f t="shared" ref="F50:F57" si="0">D50*E50</f>
        <v>0</v>
      </c>
    </row>
    <row r="51" spans="1:7" ht="13">
      <c r="A51" s="114"/>
      <c r="B51" s="127" t="s">
        <v>53</v>
      </c>
      <c r="C51" s="130" t="s">
        <v>54</v>
      </c>
      <c r="D51" s="131">
        <v>3</v>
      </c>
      <c r="E51" s="132"/>
      <c r="F51" s="101">
        <f t="shared" si="0"/>
        <v>0</v>
      </c>
    </row>
    <row r="52" spans="1:7" ht="13">
      <c r="A52" s="114"/>
      <c r="B52" s="133"/>
      <c r="C52" s="130"/>
      <c r="D52" s="131"/>
      <c r="E52" s="100"/>
      <c r="F52" s="101">
        <f t="shared" si="0"/>
        <v>0</v>
      </c>
      <c r="G52" s="104"/>
    </row>
    <row r="53" spans="1:7" ht="14.5">
      <c r="A53" s="131"/>
      <c r="B53" s="127" t="s">
        <v>349</v>
      </c>
      <c r="C53" s="128" t="s">
        <v>348</v>
      </c>
      <c r="D53" s="129">
        <f>D49</f>
        <v>22.680000000000003</v>
      </c>
      <c r="E53" s="100"/>
      <c r="F53" s="101">
        <f t="shared" si="0"/>
        <v>0</v>
      </c>
    </row>
    <row r="54" spans="1:7">
      <c r="A54" s="131"/>
      <c r="B54" s="127"/>
      <c r="C54" s="128"/>
      <c r="D54" s="131"/>
      <c r="E54" s="100"/>
      <c r="F54" s="101">
        <f t="shared" si="0"/>
        <v>0</v>
      </c>
    </row>
    <row r="55" spans="1:7" ht="14.5">
      <c r="A55" s="131"/>
      <c r="B55" s="134" t="s">
        <v>55</v>
      </c>
      <c r="C55" s="128" t="s">
        <v>348</v>
      </c>
      <c r="D55" s="129">
        <f>2*(14.8+14.8)*0.35</f>
        <v>20.72</v>
      </c>
      <c r="E55" s="135"/>
      <c r="F55" s="101">
        <f t="shared" si="0"/>
        <v>0</v>
      </c>
      <c r="G55" s="108"/>
    </row>
    <row r="56" spans="1:7">
      <c r="A56" s="131"/>
      <c r="B56" s="136"/>
      <c r="C56" s="130"/>
      <c r="D56" s="131"/>
      <c r="E56" s="100"/>
      <c r="F56" s="101">
        <f t="shared" si="0"/>
        <v>0</v>
      </c>
    </row>
    <row r="57" spans="1:7" ht="14.5">
      <c r="A57" s="131"/>
      <c r="B57" s="127" t="s">
        <v>56</v>
      </c>
      <c r="C57" s="128" t="s">
        <v>348</v>
      </c>
      <c r="D57" s="129">
        <f>(14.8+4.1+12.6+8+8+10)*0.25</f>
        <v>14.375</v>
      </c>
      <c r="E57" s="100"/>
      <c r="F57" s="101">
        <f t="shared" si="0"/>
        <v>0</v>
      </c>
    </row>
    <row r="58" spans="1:7">
      <c r="A58" s="131"/>
      <c r="B58" s="134"/>
      <c r="C58" s="130"/>
      <c r="D58" s="131"/>
      <c r="E58" s="100"/>
      <c r="F58" s="101"/>
      <c r="G58" s="108"/>
    </row>
    <row r="59" spans="1:7">
      <c r="A59" s="131"/>
      <c r="B59" s="134" t="s">
        <v>57</v>
      </c>
      <c r="C59" s="130" t="s">
        <v>58</v>
      </c>
      <c r="D59" s="131">
        <v>1</v>
      </c>
      <c r="E59" s="135"/>
      <c r="F59" s="137">
        <f>D59*E59</f>
        <v>0</v>
      </c>
      <c r="G59" s="108"/>
    </row>
    <row r="60" spans="1:7">
      <c r="A60" s="131"/>
      <c r="B60" s="134"/>
      <c r="C60" s="130"/>
      <c r="D60" s="131"/>
      <c r="E60" s="100"/>
      <c r="F60" s="101"/>
      <c r="G60" s="108"/>
    </row>
    <row r="61" spans="1:7" ht="14.5">
      <c r="A61" s="131"/>
      <c r="B61" s="134" t="s">
        <v>59</v>
      </c>
      <c r="C61" s="128" t="s">
        <v>348</v>
      </c>
      <c r="D61" s="129">
        <f>2*(2.86*1.08)+2*(2*2.86)+2*(1.76*2.94)+(4.6*2.94)+(3.6*2)+2*((2.5*2.94)-3*(0.94*2.04))+2*(5.3*2.64)+2*(3.6*2.64)+2*(5.4*2.64)+2*(3.6*2.64)+2*(5.4*2.64)+2*(3.9*2.64)</f>
        <v>195.50080000000003</v>
      </c>
      <c r="E61" s="100"/>
      <c r="F61" s="101">
        <f>D61*E61</f>
        <v>0</v>
      </c>
      <c r="G61" s="108"/>
    </row>
    <row r="62" spans="1:7">
      <c r="A62" s="131"/>
      <c r="B62" s="127"/>
      <c r="C62" s="130"/>
      <c r="D62" s="131"/>
      <c r="E62" s="100"/>
      <c r="F62" s="101">
        <f t="shared" ref="F62:F69" si="1">D62*E62</f>
        <v>0</v>
      </c>
    </row>
    <row r="63" spans="1:7" ht="14.5">
      <c r="A63" s="131"/>
      <c r="B63" s="134" t="s">
        <v>60</v>
      </c>
      <c r="C63" s="128" t="s">
        <v>348</v>
      </c>
      <c r="D63" s="129">
        <f>(14.8+12.67+8+8+10+17.4)*3.34</f>
        <v>236.70580000000001</v>
      </c>
      <c r="E63" s="100"/>
      <c r="F63" s="101">
        <f t="shared" si="1"/>
        <v>0</v>
      </c>
      <c r="G63" s="108"/>
    </row>
    <row r="64" spans="1:7">
      <c r="A64" s="131"/>
      <c r="B64" s="134"/>
      <c r="C64" s="128"/>
      <c r="D64" s="131"/>
      <c r="E64" s="100"/>
      <c r="F64" s="101">
        <f t="shared" si="1"/>
        <v>0</v>
      </c>
      <c r="G64" s="108"/>
    </row>
    <row r="65" spans="1:7" ht="14.5">
      <c r="A65" s="131"/>
      <c r="B65" s="134" t="s">
        <v>61</v>
      </c>
      <c r="C65" s="128" t="s">
        <v>348</v>
      </c>
      <c r="D65" s="131">
        <f>25*24</f>
        <v>600</v>
      </c>
      <c r="E65" s="100"/>
      <c r="F65" s="101">
        <f t="shared" si="1"/>
        <v>0</v>
      </c>
      <c r="G65" s="108"/>
    </row>
    <row r="66" spans="1:7">
      <c r="A66" s="131"/>
      <c r="B66" s="134"/>
      <c r="C66" s="128"/>
      <c r="D66" s="131"/>
      <c r="E66" s="100"/>
      <c r="F66" s="101">
        <f t="shared" si="1"/>
        <v>0</v>
      </c>
      <c r="G66" s="108"/>
    </row>
    <row r="67" spans="1:7" ht="14.5">
      <c r="A67" s="131"/>
      <c r="B67" s="127" t="s">
        <v>62</v>
      </c>
      <c r="C67" s="128" t="s">
        <v>348</v>
      </c>
      <c r="D67" s="129">
        <f>5.4*3.6</f>
        <v>19.440000000000001</v>
      </c>
      <c r="E67" s="100"/>
      <c r="F67" s="101">
        <f t="shared" si="1"/>
        <v>0</v>
      </c>
    </row>
    <row r="68" spans="1:7">
      <c r="A68" s="131"/>
      <c r="B68" s="127"/>
      <c r="C68" s="130"/>
      <c r="D68" s="131"/>
      <c r="E68" s="100"/>
      <c r="F68" s="101">
        <f t="shared" si="1"/>
        <v>0</v>
      </c>
    </row>
    <row r="69" spans="1:7">
      <c r="A69" s="131"/>
      <c r="B69" s="134" t="s">
        <v>63</v>
      </c>
      <c r="C69" s="130" t="s">
        <v>64</v>
      </c>
      <c r="D69" s="131">
        <v>1</v>
      </c>
      <c r="E69" s="100"/>
      <c r="F69" s="101">
        <f t="shared" si="1"/>
        <v>0</v>
      </c>
      <c r="G69" s="108"/>
    </row>
    <row r="70" spans="1:7">
      <c r="A70" s="131"/>
      <c r="B70" s="127"/>
      <c r="C70" s="130"/>
      <c r="D70" s="131"/>
      <c r="E70" s="100"/>
      <c r="F70" s="101"/>
    </row>
    <row r="71" spans="1:7">
      <c r="A71" s="131"/>
      <c r="B71" s="127" t="s">
        <v>65</v>
      </c>
      <c r="C71" s="130" t="s">
        <v>64</v>
      </c>
      <c r="D71" s="131">
        <v>7</v>
      </c>
      <c r="E71" s="100"/>
      <c r="F71" s="101">
        <f>D71*E71</f>
        <v>0</v>
      </c>
    </row>
    <row r="72" spans="1:7">
      <c r="A72" s="131"/>
      <c r="B72" s="127"/>
      <c r="C72" s="130"/>
      <c r="D72" s="131"/>
      <c r="E72" s="100"/>
      <c r="F72" s="101"/>
    </row>
    <row r="73" spans="1:7">
      <c r="A73" s="131"/>
      <c r="B73" s="127" t="s">
        <v>66</v>
      </c>
      <c r="C73" s="130" t="s">
        <v>54</v>
      </c>
      <c r="D73" s="131">
        <v>0.8</v>
      </c>
      <c r="E73" s="100"/>
      <c r="F73" s="101"/>
    </row>
    <row r="74" spans="1:7">
      <c r="A74" s="131"/>
      <c r="B74" s="127"/>
      <c r="C74" s="130"/>
      <c r="D74" s="131"/>
      <c r="E74" s="100"/>
      <c r="F74" s="101"/>
    </row>
    <row r="75" spans="1:7">
      <c r="A75" s="131"/>
      <c r="B75" s="134"/>
      <c r="C75" s="128"/>
      <c r="D75" s="129"/>
      <c r="E75" s="100"/>
      <c r="F75" s="101"/>
      <c r="G75" s="108"/>
    </row>
    <row r="76" spans="1:7" ht="37.5">
      <c r="A76" s="131"/>
      <c r="B76" s="138" t="s">
        <v>102</v>
      </c>
      <c r="C76" s="128" t="s">
        <v>54</v>
      </c>
      <c r="D76" s="129">
        <v>10</v>
      </c>
      <c r="E76" s="139"/>
      <c r="F76" s="140">
        <f>D76*E76</f>
        <v>0</v>
      </c>
      <c r="G76" s="108"/>
    </row>
    <row r="77" spans="1:7">
      <c r="A77" s="131"/>
      <c r="B77" s="141"/>
      <c r="C77" s="128"/>
      <c r="D77" s="129"/>
      <c r="E77" s="100"/>
      <c r="F77" s="101"/>
      <c r="G77" s="108"/>
    </row>
    <row r="78" spans="1:7" ht="50">
      <c r="A78" s="131"/>
      <c r="B78" s="138" t="s">
        <v>103</v>
      </c>
      <c r="C78" s="128" t="s">
        <v>64</v>
      </c>
      <c r="D78" s="129">
        <v>5</v>
      </c>
      <c r="E78" s="139"/>
      <c r="F78" s="140">
        <f>D78*E78</f>
        <v>0</v>
      </c>
      <c r="G78" s="108"/>
    </row>
    <row r="79" spans="1:7">
      <c r="A79" s="131"/>
      <c r="B79" s="134"/>
      <c r="C79" s="128"/>
      <c r="D79" s="129"/>
      <c r="E79" s="100"/>
      <c r="F79" s="101"/>
      <c r="G79" s="108"/>
    </row>
    <row r="80" spans="1:7">
      <c r="A80" s="131"/>
      <c r="B80" s="134" t="s">
        <v>67</v>
      </c>
      <c r="C80" s="128" t="s">
        <v>64</v>
      </c>
      <c r="D80" s="129">
        <v>3</v>
      </c>
      <c r="E80" s="100"/>
      <c r="F80" s="101">
        <f>D80*E80</f>
        <v>0</v>
      </c>
      <c r="G80" s="108"/>
    </row>
    <row r="81" spans="1:7">
      <c r="A81" s="131"/>
      <c r="B81" s="134"/>
      <c r="C81" s="128"/>
      <c r="D81" s="129"/>
      <c r="E81" s="100"/>
      <c r="F81" s="101"/>
      <c r="G81" s="108"/>
    </row>
    <row r="82" spans="1:7" ht="25.5" thickBot="1">
      <c r="A82" s="131"/>
      <c r="B82" s="142" t="s">
        <v>104</v>
      </c>
      <c r="C82" s="143" t="s">
        <v>348</v>
      </c>
      <c r="D82" s="144">
        <f>5.4*3.9</f>
        <v>21.060000000000002</v>
      </c>
      <c r="E82" s="118"/>
      <c r="F82" s="119">
        <f>D82*E82</f>
        <v>0</v>
      </c>
      <c r="G82" s="108"/>
    </row>
    <row r="83" spans="1:7" s="88" customFormat="1" ht="13.5" thickBot="1">
      <c r="A83" s="114"/>
      <c r="B83" s="300" t="s">
        <v>216</v>
      </c>
      <c r="C83" s="301"/>
      <c r="D83" s="301"/>
      <c r="E83" s="320"/>
      <c r="F83" s="86">
        <f>SUM(F49:F82)</f>
        <v>0</v>
      </c>
      <c r="G83" s="145"/>
    </row>
    <row r="84" spans="1:7" s="88" customFormat="1" ht="13.5" thickBot="1">
      <c r="A84" s="114"/>
      <c r="B84" s="300"/>
      <c r="C84" s="301"/>
      <c r="D84" s="301"/>
      <c r="E84" s="301"/>
      <c r="F84" s="302"/>
      <c r="G84" s="145"/>
    </row>
    <row r="85" spans="1:7" ht="13.5" thickBot="1">
      <c r="A85" s="131"/>
      <c r="B85" s="120" t="s">
        <v>68</v>
      </c>
      <c r="C85" s="121"/>
      <c r="D85" s="122"/>
      <c r="E85" s="123"/>
      <c r="F85" s="124"/>
      <c r="G85" s="104"/>
    </row>
    <row r="86" spans="1:7">
      <c r="A86" s="131"/>
      <c r="B86" s="125"/>
      <c r="C86" s="113"/>
      <c r="D86" s="111"/>
      <c r="E86" s="93"/>
      <c r="F86" s="94"/>
    </row>
    <row r="87" spans="1:7" ht="13">
      <c r="A87" s="114"/>
      <c r="B87" s="134" t="s">
        <v>69</v>
      </c>
      <c r="C87" s="128" t="s">
        <v>58</v>
      </c>
      <c r="D87" s="131">
        <v>1</v>
      </c>
      <c r="E87" s="139"/>
      <c r="F87" s="101">
        <f>D87*E87</f>
        <v>0</v>
      </c>
    </row>
    <row r="88" spans="1:7" ht="13">
      <c r="A88" s="114"/>
      <c r="B88" s="127"/>
      <c r="C88" s="130"/>
      <c r="D88" s="131"/>
      <c r="E88" s="100"/>
      <c r="F88" s="101"/>
    </row>
    <row r="89" spans="1:7" ht="13">
      <c r="A89" s="114"/>
      <c r="B89" s="134" t="s">
        <v>70</v>
      </c>
      <c r="C89" s="146" t="s">
        <v>54</v>
      </c>
      <c r="D89" s="129">
        <f>(20.4*2)+2*(3.3*3)</f>
        <v>60.599999999999994</v>
      </c>
      <c r="E89" s="100"/>
      <c r="F89" s="101">
        <f>D89*E89</f>
        <v>0</v>
      </c>
      <c r="G89" s="108"/>
    </row>
    <row r="90" spans="1:7" ht="13">
      <c r="A90" s="114"/>
      <c r="B90" s="133"/>
      <c r="C90" s="130"/>
      <c r="D90" s="131"/>
      <c r="E90" s="100"/>
      <c r="F90" s="101">
        <f t="shared" ref="F90:F91" si="2">D90*E90</f>
        <v>0</v>
      </c>
      <c r="G90" s="104"/>
    </row>
    <row r="91" spans="1:7">
      <c r="A91" s="131"/>
      <c r="B91" s="127" t="s">
        <v>71</v>
      </c>
      <c r="C91" s="128" t="s">
        <v>54</v>
      </c>
      <c r="D91" s="131">
        <v>7</v>
      </c>
      <c r="E91" s="100"/>
      <c r="F91" s="101">
        <f t="shared" si="2"/>
        <v>0</v>
      </c>
    </row>
    <row r="92" spans="1:7">
      <c r="A92" s="131"/>
      <c r="B92" s="127"/>
      <c r="C92" s="128"/>
      <c r="D92" s="131"/>
      <c r="E92" s="100"/>
      <c r="F92" s="101"/>
    </row>
    <row r="93" spans="1:7">
      <c r="A93" s="131"/>
      <c r="B93" s="134" t="s">
        <v>72</v>
      </c>
      <c r="C93" s="128" t="s">
        <v>64</v>
      </c>
      <c r="D93" s="131">
        <v>1</v>
      </c>
      <c r="E93" s="100"/>
      <c r="F93" s="101">
        <f>D93*E93</f>
        <v>0</v>
      </c>
      <c r="G93" s="108"/>
    </row>
    <row r="94" spans="1:7">
      <c r="A94" s="131"/>
      <c r="B94" s="127"/>
      <c r="C94" s="128"/>
      <c r="D94" s="131"/>
      <c r="E94" s="100"/>
      <c r="F94" s="101"/>
    </row>
    <row r="95" spans="1:7" ht="14.5">
      <c r="A95" s="131"/>
      <c r="B95" s="127" t="s">
        <v>73</v>
      </c>
      <c r="C95" s="128" t="s">
        <v>348</v>
      </c>
      <c r="D95" s="129">
        <f>(20.4*0.46)+(2.65*0.34)*4</f>
        <v>12.988</v>
      </c>
      <c r="E95" s="100"/>
      <c r="F95" s="101">
        <f>D95*E95</f>
        <v>0</v>
      </c>
    </row>
    <row r="96" spans="1:7">
      <c r="A96" s="131"/>
      <c r="B96" s="127"/>
      <c r="C96" s="128"/>
      <c r="D96" s="129"/>
      <c r="E96" s="100"/>
      <c r="F96" s="101">
        <f t="shared" ref="F96:F99" si="3">D96*E96</f>
        <v>0</v>
      </c>
    </row>
    <row r="97" spans="1:7" ht="14.5">
      <c r="A97" s="131"/>
      <c r="B97" s="127" t="s">
        <v>74</v>
      </c>
      <c r="C97" s="128" t="s">
        <v>348</v>
      </c>
      <c r="D97" s="129">
        <f>(17*1.5)+(2.2*1.37)+(0.25*1.5)+2*(1*1.7)+(15*0.3)</f>
        <v>36.789000000000001</v>
      </c>
      <c r="E97" s="100"/>
      <c r="F97" s="101">
        <f t="shared" si="3"/>
        <v>0</v>
      </c>
    </row>
    <row r="98" spans="1:7">
      <c r="A98" s="131"/>
      <c r="B98" s="127"/>
      <c r="C98" s="128"/>
      <c r="D98" s="131"/>
      <c r="E98" s="100"/>
      <c r="F98" s="101">
        <f t="shared" si="3"/>
        <v>0</v>
      </c>
    </row>
    <row r="99" spans="1:7" ht="14.5">
      <c r="A99" s="131"/>
      <c r="B99" s="127" t="s">
        <v>56</v>
      </c>
      <c r="C99" s="128" t="s">
        <v>348</v>
      </c>
      <c r="D99" s="129">
        <f>2*(40*0.25)</f>
        <v>20</v>
      </c>
      <c r="E99" s="100"/>
      <c r="F99" s="101">
        <f t="shared" si="3"/>
        <v>0</v>
      </c>
    </row>
    <row r="100" spans="1:7">
      <c r="A100" s="131"/>
      <c r="B100" s="136"/>
      <c r="C100" s="130"/>
      <c r="D100" s="131"/>
      <c r="E100" s="147"/>
      <c r="F100" s="101"/>
    </row>
    <row r="101" spans="1:7">
      <c r="A101" s="131"/>
      <c r="B101" s="134" t="s">
        <v>57</v>
      </c>
      <c r="C101" s="130" t="s">
        <v>58</v>
      </c>
      <c r="D101" s="131">
        <v>1</v>
      </c>
      <c r="E101" s="135"/>
      <c r="F101" s="137">
        <f>D101*E101</f>
        <v>0</v>
      </c>
      <c r="G101" s="108"/>
    </row>
    <row r="102" spans="1:7">
      <c r="A102" s="131"/>
      <c r="B102" s="134"/>
      <c r="C102" s="130"/>
      <c r="D102" s="131"/>
      <c r="E102" s="100"/>
      <c r="F102" s="101"/>
      <c r="G102" s="108"/>
    </row>
    <row r="103" spans="1:7" ht="14.5">
      <c r="A103" s="131"/>
      <c r="B103" s="134" t="s">
        <v>75</v>
      </c>
      <c r="C103" s="128" t="s">
        <v>348</v>
      </c>
      <c r="D103" s="131">
        <v>1</v>
      </c>
      <c r="E103" s="100"/>
      <c r="F103" s="101">
        <f>D103*E103</f>
        <v>0</v>
      </c>
      <c r="G103" s="108"/>
    </row>
    <row r="104" spans="1:7">
      <c r="A104" s="131"/>
      <c r="B104" s="127"/>
      <c r="C104" s="130"/>
      <c r="D104" s="131"/>
      <c r="E104" s="100"/>
      <c r="F104" s="101">
        <f t="shared" ref="F104:F113" si="4">D104*E104</f>
        <v>0</v>
      </c>
    </row>
    <row r="105" spans="1:7" ht="14.5">
      <c r="A105" s="131"/>
      <c r="B105" s="134" t="s">
        <v>60</v>
      </c>
      <c r="C105" s="128" t="s">
        <v>348</v>
      </c>
      <c r="D105" s="148">
        <f>2*(25*2.65)+2*(30*3.5)</f>
        <v>342.5</v>
      </c>
      <c r="E105" s="100"/>
      <c r="F105" s="101">
        <f t="shared" si="4"/>
        <v>0</v>
      </c>
      <c r="G105" s="108"/>
    </row>
    <row r="106" spans="1:7">
      <c r="A106" s="131"/>
      <c r="B106" s="134"/>
      <c r="C106" s="128"/>
      <c r="D106" s="149"/>
      <c r="E106" s="100"/>
      <c r="F106" s="101">
        <f t="shared" si="4"/>
        <v>0</v>
      </c>
      <c r="G106" s="108"/>
    </row>
    <row r="107" spans="1:7" ht="14.5">
      <c r="A107" s="131"/>
      <c r="B107" s="134" t="s">
        <v>60</v>
      </c>
      <c r="C107" s="128" t="s">
        <v>348</v>
      </c>
      <c r="D107" s="148">
        <f>2.86*(2*1.08+2*2)+2.94*(1.76*2+4.6)+(3.6*2)</f>
        <v>48.690399999999997</v>
      </c>
      <c r="E107" s="100"/>
      <c r="F107" s="101">
        <f t="shared" si="4"/>
        <v>0</v>
      </c>
      <c r="G107" s="108"/>
    </row>
    <row r="108" spans="1:7">
      <c r="A108" s="131"/>
      <c r="B108" s="134"/>
      <c r="C108" s="128"/>
      <c r="D108" s="131"/>
      <c r="E108" s="100"/>
      <c r="F108" s="101">
        <f t="shared" si="4"/>
        <v>0</v>
      </c>
      <c r="G108" s="108"/>
    </row>
    <row r="109" spans="1:7" ht="14.5">
      <c r="A109" s="131"/>
      <c r="B109" s="134" t="s">
        <v>76</v>
      </c>
      <c r="C109" s="128" t="s">
        <v>348</v>
      </c>
      <c r="D109" s="150">
        <f>2*(2.23*1.2)+2*(3.18*1.2)</f>
        <v>12.983999999999998</v>
      </c>
      <c r="E109" s="100"/>
      <c r="F109" s="101">
        <f t="shared" si="4"/>
        <v>0</v>
      </c>
      <c r="G109" s="108"/>
    </row>
    <row r="110" spans="1:7">
      <c r="A110" s="131"/>
      <c r="B110" s="134"/>
      <c r="C110" s="128"/>
      <c r="D110" s="131"/>
      <c r="E110" s="100"/>
      <c r="F110" s="101">
        <f t="shared" si="4"/>
        <v>0</v>
      </c>
      <c r="G110" s="108"/>
    </row>
    <row r="111" spans="1:7" ht="14.5">
      <c r="A111" s="131"/>
      <c r="B111" s="134" t="s">
        <v>61</v>
      </c>
      <c r="C111" s="128" t="s">
        <v>348</v>
      </c>
      <c r="D111" s="131">
        <f>(25*35)</f>
        <v>875</v>
      </c>
      <c r="E111" s="100"/>
      <c r="F111" s="101">
        <f t="shared" si="4"/>
        <v>0</v>
      </c>
      <c r="G111" s="108"/>
    </row>
    <row r="112" spans="1:7">
      <c r="A112" s="131"/>
      <c r="B112" s="134"/>
      <c r="C112" s="128"/>
      <c r="D112" s="131"/>
      <c r="E112" s="100"/>
      <c r="F112" s="101">
        <f t="shared" si="4"/>
        <v>0</v>
      </c>
      <c r="G112" s="108"/>
    </row>
    <row r="113" spans="1:7" ht="14.5">
      <c r="A113" s="131"/>
      <c r="B113" s="127" t="s">
        <v>77</v>
      </c>
      <c r="C113" s="128" t="s">
        <v>348</v>
      </c>
      <c r="D113" s="129">
        <f>7.9*3.9</f>
        <v>30.810000000000002</v>
      </c>
      <c r="E113" s="100"/>
      <c r="F113" s="101">
        <f t="shared" si="4"/>
        <v>0</v>
      </c>
    </row>
    <row r="114" spans="1:7">
      <c r="A114" s="131"/>
      <c r="B114" s="127"/>
      <c r="C114" s="128"/>
      <c r="D114" s="131"/>
      <c r="E114" s="100"/>
      <c r="F114" s="101"/>
    </row>
    <row r="115" spans="1:7">
      <c r="A115" s="131"/>
      <c r="B115" s="127" t="s">
        <v>115</v>
      </c>
      <c r="C115" s="128" t="s">
        <v>54</v>
      </c>
      <c r="D115" s="131">
        <v>1</v>
      </c>
      <c r="E115" s="100"/>
      <c r="F115" s="101">
        <f>D115*E115</f>
        <v>0</v>
      </c>
    </row>
    <row r="116" spans="1:7">
      <c r="A116" s="131"/>
      <c r="B116" s="127"/>
      <c r="C116" s="130"/>
      <c r="D116" s="131"/>
      <c r="E116" s="100"/>
      <c r="F116" s="101"/>
    </row>
    <row r="117" spans="1:7">
      <c r="A117" s="131"/>
      <c r="B117" s="127" t="s">
        <v>78</v>
      </c>
      <c r="C117" s="130" t="s">
        <v>64</v>
      </c>
      <c r="D117" s="131">
        <v>1</v>
      </c>
      <c r="E117" s="100"/>
      <c r="F117" s="101">
        <f>D117*E117</f>
        <v>0</v>
      </c>
    </row>
    <row r="118" spans="1:7" ht="13" thickBot="1">
      <c r="A118" s="131"/>
      <c r="B118" s="151"/>
      <c r="C118" s="116"/>
      <c r="D118" s="117"/>
      <c r="E118" s="118"/>
      <c r="F118" s="119"/>
    </row>
    <row r="119" spans="1:7" ht="13.5" thickBot="1">
      <c r="A119" s="131"/>
      <c r="B119" s="321" t="s">
        <v>216</v>
      </c>
      <c r="C119" s="298"/>
      <c r="D119" s="298"/>
      <c r="E119" s="299"/>
      <c r="F119" s="86">
        <f>SUM(F87:F117)</f>
        <v>0</v>
      </c>
    </row>
    <row r="120" spans="1:7" ht="13" thickBot="1">
      <c r="A120" s="131"/>
      <c r="B120" s="313"/>
      <c r="C120" s="314"/>
      <c r="D120" s="314"/>
      <c r="E120" s="314"/>
      <c r="F120" s="315"/>
    </row>
    <row r="121" spans="1:7" ht="13.5" thickBot="1">
      <c r="A121" s="131"/>
      <c r="B121" s="120" t="s">
        <v>79</v>
      </c>
      <c r="C121" s="121"/>
      <c r="D121" s="122"/>
      <c r="E121" s="123"/>
      <c r="F121" s="124"/>
      <c r="G121" s="104"/>
    </row>
    <row r="122" spans="1:7" ht="13">
      <c r="A122" s="131"/>
      <c r="B122" s="112"/>
      <c r="C122" s="113"/>
      <c r="D122" s="111"/>
      <c r="E122" s="93"/>
      <c r="F122" s="94"/>
      <c r="G122" s="104"/>
    </row>
    <row r="123" spans="1:7" ht="14.5">
      <c r="A123" s="131"/>
      <c r="B123" s="134" t="s">
        <v>80</v>
      </c>
      <c r="C123" s="128" t="s">
        <v>348</v>
      </c>
      <c r="D123" s="131">
        <f>2*(3.9*2.5)+2*(4.1*2.5)</f>
        <v>40</v>
      </c>
      <c r="E123" s="100"/>
      <c r="F123" s="101">
        <f>D123*E123</f>
        <v>0</v>
      </c>
      <c r="G123" s="108"/>
    </row>
    <row r="124" spans="1:7">
      <c r="A124" s="131"/>
      <c r="B124" s="127"/>
      <c r="C124" s="130"/>
      <c r="D124" s="131"/>
      <c r="E124" s="100"/>
      <c r="F124" s="101"/>
    </row>
    <row r="125" spans="1:7">
      <c r="A125" s="131"/>
      <c r="B125" s="127"/>
      <c r="C125" s="128"/>
      <c r="D125" s="131"/>
      <c r="E125" s="100"/>
      <c r="F125" s="101"/>
    </row>
    <row r="126" spans="1:7">
      <c r="A126" s="131"/>
      <c r="B126" s="134" t="s">
        <v>81</v>
      </c>
      <c r="C126" s="128" t="s">
        <v>58</v>
      </c>
      <c r="D126" s="131">
        <v>1</v>
      </c>
      <c r="E126" s="100"/>
      <c r="F126" s="101">
        <f>D126*E126</f>
        <v>0</v>
      </c>
      <c r="G126" s="108"/>
    </row>
    <row r="127" spans="1:7">
      <c r="A127" s="131"/>
      <c r="B127" s="127"/>
      <c r="C127" s="130"/>
      <c r="D127" s="131"/>
      <c r="E127" s="100"/>
      <c r="F127" s="101"/>
    </row>
    <row r="128" spans="1:7" ht="14.5">
      <c r="A128" s="131"/>
      <c r="B128" s="136" t="s">
        <v>82</v>
      </c>
      <c r="C128" s="128" t="s">
        <v>348</v>
      </c>
      <c r="D128" s="129">
        <f>2*((1.1*0.51)+2*(0.47*0.47))</f>
        <v>2.0056000000000003</v>
      </c>
      <c r="E128" s="100"/>
      <c r="F128" s="101">
        <f>D128*E128</f>
        <v>0</v>
      </c>
    </row>
    <row r="129" spans="1:7">
      <c r="A129" s="131"/>
      <c r="B129" s="127"/>
      <c r="C129" s="130"/>
      <c r="D129" s="131"/>
      <c r="E129" s="100"/>
      <c r="F129" s="101"/>
    </row>
    <row r="130" spans="1:7" ht="14.5">
      <c r="A130" s="131"/>
      <c r="B130" s="134" t="s">
        <v>83</v>
      </c>
      <c r="C130" s="128" t="s">
        <v>348</v>
      </c>
      <c r="D130" s="129">
        <f>(2.4*4*0.25)+(9.5*2*0.25)+(2.34*0.14*58)</f>
        <v>26.150800000000004</v>
      </c>
      <c r="E130" s="100"/>
      <c r="F130" s="101">
        <f>D130*E130</f>
        <v>0</v>
      </c>
      <c r="G130" s="108"/>
    </row>
    <row r="131" spans="1:7">
      <c r="A131" s="131"/>
      <c r="B131" s="134"/>
      <c r="C131" s="130"/>
      <c r="D131" s="131"/>
      <c r="E131" s="100"/>
      <c r="F131" s="101"/>
      <c r="G131" s="108"/>
    </row>
    <row r="132" spans="1:7">
      <c r="A132" s="131"/>
      <c r="B132" s="127" t="s">
        <v>84</v>
      </c>
      <c r="C132" s="130" t="s">
        <v>58</v>
      </c>
      <c r="D132" s="131">
        <v>1</v>
      </c>
      <c r="E132" s="100"/>
      <c r="F132" s="101">
        <f>D132*E132</f>
        <v>0</v>
      </c>
    </row>
    <row r="133" spans="1:7">
      <c r="A133" s="131"/>
      <c r="B133" s="127"/>
      <c r="C133" s="130"/>
      <c r="D133" s="131"/>
      <c r="E133" s="100"/>
      <c r="F133" s="101"/>
    </row>
    <row r="134" spans="1:7">
      <c r="A134" s="131"/>
      <c r="B134" s="127" t="s">
        <v>85</v>
      </c>
      <c r="C134" s="130" t="s">
        <v>58</v>
      </c>
      <c r="D134" s="131">
        <v>1</v>
      </c>
      <c r="E134" s="135"/>
      <c r="F134" s="101">
        <f>D134*E134</f>
        <v>0</v>
      </c>
    </row>
    <row r="135" spans="1:7">
      <c r="A135" s="131"/>
      <c r="B135" s="127"/>
      <c r="C135" s="130"/>
      <c r="D135" s="131"/>
      <c r="E135" s="100"/>
      <c r="F135" s="101"/>
    </row>
    <row r="136" spans="1:7">
      <c r="A136" s="131"/>
      <c r="B136" s="134" t="s">
        <v>86</v>
      </c>
      <c r="C136" s="130" t="s">
        <v>58</v>
      </c>
      <c r="D136" s="131">
        <v>1</v>
      </c>
      <c r="E136" s="100"/>
      <c r="F136" s="101">
        <f>D136*E136</f>
        <v>0</v>
      </c>
      <c r="G136" s="108"/>
    </row>
    <row r="137" spans="1:7" ht="13" thickBot="1">
      <c r="A137" s="131"/>
      <c r="B137" s="151"/>
      <c r="C137" s="116"/>
      <c r="D137" s="117"/>
      <c r="E137" s="118"/>
      <c r="F137" s="119"/>
    </row>
    <row r="138" spans="1:7" ht="13.5" thickBot="1">
      <c r="A138" s="131"/>
      <c r="B138" s="321" t="s">
        <v>216</v>
      </c>
      <c r="C138" s="298"/>
      <c r="D138" s="298"/>
      <c r="E138" s="299"/>
      <c r="F138" s="86">
        <f>SUM(F123:F137)</f>
        <v>0</v>
      </c>
    </row>
    <row r="139" spans="1:7" ht="13" thickBot="1">
      <c r="A139" s="131"/>
      <c r="B139" s="313"/>
      <c r="C139" s="314"/>
      <c r="D139" s="314"/>
      <c r="E139" s="314"/>
      <c r="F139" s="315"/>
    </row>
    <row r="140" spans="1:7" ht="13.5" thickBot="1">
      <c r="A140" s="131"/>
      <c r="B140" s="152" t="s">
        <v>87</v>
      </c>
      <c r="C140" s="121"/>
      <c r="D140" s="122"/>
      <c r="E140" s="123"/>
      <c r="F140" s="124"/>
      <c r="G140" s="153"/>
    </row>
    <row r="141" spans="1:7">
      <c r="A141" s="131"/>
      <c r="B141" s="154"/>
      <c r="C141" s="155"/>
      <c r="D141" s="156"/>
      <c r="E141" s="157"/>
      <c r="F141" s="158"/>
    </row>
    <row r="142" spans="1:7" ht="14.5">
      <c r="A142" s="131"/>
      <c r="B142" s="127" t="s">
        <v>88</v>
      </c>
      <c r="C142" s="128" t="s">
        <v>348</v>
      </c>
      <c r="D142" s="129">
        <f>(3.17*0.3)*2+(3.4*0.3)*3</f>
        <v>4.9619999999999997</v>
      </c>
      <c r="E142" s="100"/>
      <c r="F142" s="101">
        <f>D142*E142</f>
        <v>0</v>
      </c>
    </row>
    <row r="143" spans="1:7">
      <c r="A143" s="131"/>
      <c r="B143" s="127"/>
      <c r="C143" s="130"/>
      <c r="D143" s="131"/>
      <c r="E143" s="100"/>
      <c r="F143" s="101">
        <f t="shared" ref="F143:F146" si="5">D143*E143</f>
        <v>0</v>
      </c>
    </row>
    <row r="144" spans="1:7" ht="14.5">
      <c r="A144" s="131"/>
      <c r="B144" s="127" t="s">
        <v>89</v>
      </c>
      <c r="C144" s="128" t="s">
        <v>348</v>
      </c>
      <c r="D144" s="129">
        <f>2*(1.15*2.56)+(2.3*2.5)</f>
        <v>11.638</v>
      </c>
      <c r="E144" s="100"/>
      <c r="F144" s="101">
        <f t="shared" si="5"/>
        <v>0</v>
      </c>
    </row>
    <row r="145" spans="1:13">
      <c r="A145" s="131"/>
      <c r="B145" s="127"/>
      <c r="C145" s="128"/>
      <c r="D145" s="129"/>
      <c r="E145" s="100"/>
      <c r="F145" s="101">
        <f t="shared" si="5"/>
        <v>0</v>
      </c>
    </row>
    <row r="146" spans="1:13" ht="14.5">
      <c r="A146" s="131"/>
      <c r="B146" s="127" t="s">
        <v>90</v>
      </c>
      <c r="C146" s="128" t="s">
        <v>348</v>
      </c>
      <c r="D146" s="131">
        <f>7.5*2</f>
        <v>15</v>
      </c>
      <c r="E146" s="100"/>
      <c r="F146" s="101">
        <f t="shared" si="5"/>
        <v>0</v>
      </c>
    </row>
    <row r="147" spans="1:13">
      <c r="A147" s="131"/>
      <c r="B147" s="127"/>
      <c r="C147" s="128"/>
      <c r="D147" s="131"/>
      <c r="E147" s="100"/>
      <c r="F147" s="101"/>
    </row>
    <row r="148" spans="1:13" ht="15" thickBot="1">
      <c r="A148" s="131"/>
      <c r="B148" s="159" t="s">
        <v>91</v>
      </c>
      <c r="C148" s="160" t="s">
        <v>348</v>
      </c>
      <c r="D148" s="161">
        <f>14*3.68+(3.96*3.68)</f>
        <v>66.092800000000011</v>
      </c>
      <c r="E148" s="162"/>
      <c r="F148" s="163">
        <f>D148*E148</f>
        <v>0</v>
      </c>
      <c r="G148" s="108"/>
    </row>
    <row r="149" spans="1:13" s="88" customFormat="1" ht="13.5" thickBot="1">
      <c r="A149" s="164"/>
      <c r="B149" s="316" t="s">
        <v>216</v>
      </c>
      <c r="C149" s="317"/>
      <c r="D149" s="317"/>
      <c r="E149" s="319"/>
      <c r="F149" s="165">
        <f>SUM(F142:F148)</f>
        <v>0</v>
      </c>
      <c r="G149" s="102"/>
    </row>
    <row r="150" spans="1:13" s="88" customFormat="1" ht="13.5" thickBot="1">
      <c r="A150" s="166"/>
      <c r="B150" s="316"/>
      <c r="C150" s="317"/>
      <c r="D150" s="317"/>
      <c r="E150" s="317"/>
      <c r="F150" s="318"/>
      <c r="G150" s="102"/>
    </row>
    <row r="151" spans="1:13" s="88" customFormat="1" ht="13.5" thickBot="1">
      <c r="A151" s="166"/>
      <c r="B151" s="316" t="s">
        <v>112</v>
      </c>
      <c r="C151" s="317"/>
      <c r="D151" s="317"/>
      <c r="E151" s="319"/>
      <c r="F151" s="167">
        <f>F83+F119+F138+F149</f>
        <v>0</v>
      </c>
      <c r="G151" s="102"/>
    </row>
    <row r="152" spans="1:13" ht="13">
      <c r="A152" s="168"/>
      <c r="B152" s="169"/>
      <c r="C152" s="170"/>
      <c r="D152" s="170"/>
      <c r="E152" s="171"/>
      <c r="F152" s="158"/>
      <c r="G152" s="172"/>
    </row>
    <row r="153" spans="1:13" ht="13">
      <c r="A153" s="131">
        <v>2</v>
      </c>
      <c r="B153" s="133" t="s">
        <v>92</v>
      </c>
      <c r="C153" s="130"/>
      <c r="D153" s="131"/>
      <c r="E153" s="100"/>
      <c r="F153" s="101"/>
      <c r="G153" s="104"/>
    </row>
    <row r="154" spans="1:13">
      <c r="A154" s="131"/>
      <c r="B154" s="134"/>
      <c r="C154" s="130"/>
      <c r="D154" s="131"/>
      <c r="E154" s="100"/>
      <c r="F154" s="101"/>
      <c r="G154" s="108"/>
    </row>
    <row r="155" spans="1:13" s="126" customFormat="1" ht="14.5">
      <c r="A155" s="173">
        <v>2.1</v>
      </c>
      <c r="B155" s="174" t="s">
        <v>93</v>
      </c>
      <c r="C155" s="128" t="s">
        <v>348</v>
      </c>
      <c r="D155" s="173">
        <f>13*6</f>
        <v>78</v>
      </c>
      <c r="E155" s="100"/>
      <c r="F155" s="101">
        <f>D155*E155</f>
        <v>0</v>
      </c>
      <c r="G155" s="108"/>
      <c r="H155" s="95"/>
      <c r="I155" s="95"/>
      <c r="J155" s="95"/>
      <c r="K155" s="95"/>
      <c r="L155" s="95"/>
      <c r="M155" s="95"/>
    </row>
    <row r="156" spans="1:13" s="126" customFormat="1">
      <c r="A156" s="173">
        <v>2.2000000000000002</v>
      </c>
      <c r="B156" s="174"/>
      <c r="C156" s="128"/>
      <c r="D156" s="173"/>
      <c r="E156" s="100"/>
      <c r="F156" s="101"/>
      <c r="G156" s="108"/>
      <c r="H156" s="95"/>
      <c r="I156" s="95"/>
      <c r="J156" s="95"/>
      <c r="K156" s="95"/>
      <c r="L156" s="95"/>
      <c r="M156" s="95"/>
    </row>
    <row r="157" spans="1:13">
      <c r="A157" s="173">
        <v>2.2999999999999998</v>
      </c>
      <c r="B157" s="174" t="s">
        <v>94</v>
      </c>
      <c r="C157" s="128" t="s">
        <v>58</v>
      </c>
      <c r="D157" s="173">
        <v>1</v>
      </c>
      <c r="E157" s="100"/>
      <c r="F157" s="101">
        <f>D157*E157</f>
        <v>0</v>
      </c>
      <c r="G157" s="108"/>
    </row>
    <row r="158" spans="1:13">
      <c r="A158" s="173">
        <v>2.4</v>
      </c>
      <c r="B158" s="174"/>
      <c r="C158" s="128"/>
      <c r="D158" s="173"/>
      <c r="E158" s="100"/>
      <c r="F158" s="101"/>
      <c r="G158" s="108"/>
    </row>
    <row r="159" spans="1:13" ht="16" customHeight="1">
      <c r="A159" s="173">
        <v>2.5</v>
      </c>
      <c r="B159" s="174" t="s">
        <v>95</v>
      </c>
      <c r="C159" s="128" t="s">
        <v>58</v>
      </c>
      <c r="D159" s="173">
        <v>1</v>
      </c>
      <c r="E159" s="100"/>
      <c r="F159" s="101">
        <f>D159*E159</f>
        <v>0</v>
      </c>
      <c r="G159" s="108"/>
    </row>
    <row r="160" spans="1:13">
      <c r="A160" s="173">
        <v>2.6</v>
      </c>
      <c r="B160" s="174"/>
      <c r="C160" s="128"/>
      <c r="D160" s="173"/>
      <c r="E160" s="100"/>
      <c r="F160" s="101"/>
      <c r="G160" s="108"/>
    </row>
    <row r="161" spans="1:13" ht="14.5">
      <c r="A161" s="173">
        <v>2.7</v>
      </c>
      <c r="B161" s="175" t="s">
        <v>96</v>
      </c>
      <c r="C161" s="128" t="s">
        <v>348</v>
      </c>
      <c r="D161" s="176">
        <f>7</f>
        <v>7</v>
      </c>
      <c r="E161" s="118"/>
      <c r="F161" s="101">
        <f>D161*E161</f>
        <v>0</v>
      </c>
      <c r="G161" s="108"/>
    </row>
    <row r="162" spans="1:13" s="177" customFormat="1">
      <c r="A162" s="173">
        <v>2.8</v>
      </c>
      <c r="B162" s="175"/>
      <c r="C162" s="128"/>
      <c r="D162" s="176"/>
      <c r="E162" s="118"/>
      <c r="F162" s="101">
        <f t="shared" ref="F162:F165" si="6">D162*E162</f>
        <v>0</v>
      </c>
      <c r="G162" s="108"/>
      <c r="H162" s="95"/>
      <c r="I162" s="95"/>
      <c r="J162" s="95"/>
      <c r="K162" s="95"/>
      <c r="L162" s="95"/>
      <c r="M162" s="95"/>
    </row>
    <row r="163" spans="1:13" ht="14.5">
      <c r="A163" s="173">
        <v>2.9</v>
      </c>
      <c r="B163" s="175" t="s">
        <v>97</v>
      </c>
      <c r="C163" s="128" t="s">
        <v>348</v>
      </c>
      <c r="D163" s="176">
        <f>4+7*(1.4*0.45)</f>
        <v>8.41</v>
      </c>
      <c r="E163" s="118"/>
      <c r="F163" s="101">
        <f t="shared" si="6"/>
        <v>0</v>
      </c>
      <c r="G163" s="108"/>
    </row>
    <row r="164" spans="1:13">
      <c r="A164" s="173"/>
      <c r="B164" s="175"/>
      <c r="C164" s="143"/>
      <c r="D164" s="176"/>
      <c r="E164" s="118"/>
      <c r="F164" s="101">
        <f t="shared" si="6"/>
        <v>0</v>
      </c>
      <c r="G164" s="108"/>
    </row>
    <row r="165" spans="1:13">
      <c r="A165" s="173"/>
      <c r="B165" s="175" t="s">
        <v>98</v>
      </c>
      <c r="C165" s="143" t="s">
        <v>64</v>
      </c>
      <c r="D165" s="176">
        <v>5</v>
      </c>
      <c r="E165" s="118"/>
      <c r="F165" s="101">
        <f t="shared" si="6"/>
        <v>0</v>
      </c>
      <c r="G165" s="108"/>
    </row>
    <row r="166" spans="1:13">
      <c r="A166" s="173"/>
      <c r="B166" s="175"/>
      <c r="C166" s="143"/>
      <c r="D166" s="176"/>
      <c r="E166" s="118"/>
      <c r="F166" s="101"/>
      <c r="G166" s="108"/>
    </row>
    <row r="167" spans="1:13">
      <c r="A167" s="173">
        <v>2.1</v>
      </c>
      <c r="B167" s="151" t="s">
        <v>99</v>
      </c>
      <c r="C167" s="143" t="s">
        <v>58</v>
      </c>
      <c r="D167" s="176">
        <v>1</v>
      </c>
      <c r="E167" s="176"/>
      <c r="F167" s="101">
        <f>D167*E167</f>
        <v>0</v>
      </c>
    </row>
    <row r="168" spans="1:13">
      <c r="A168" s="176"/>
      <c r="B168" s="151"/>
      <c r="C168" s="143"/>
      <c r="D168" s="176"/>
      <c r="E168" s="118"/>
      <c r="F168" s="119"/>
    </row>
    <row r="169" spans="1:13" ht="15" thickBot="1">
      <c r="A169" s="176"/>
      <c r="B169" s="178" t="s">
        <v>100</v>
      </c>
      <c r="C169" s="160" t="s">
        <v>348</v>
      </c>
      <c r="D169" s="179">
        <v>38</v>
      </c>
      <c r="E169" s="162"/>
      <c r="F169" s="163">
        <f>D169*E169</f>
        <v>0</v>
      </c>
      <c r="G169" s="108"/>
    </row>
    <row r="170" spans="1:13" s="183" customFormat="1" ht="13.5" thickBot="1">
      <c r="A170" s="180" t="s">
        <v>101</v>
      </c>
      <c r="B170" s="310" t="s">
        <v>113</v>
      </c>
      <c r="C170" s="311"/>
      <c r="D170" s="311"/>
      <c r="E170" s="312"/>
      <c r="F170" s="181">
        <f>SUM(F155:F169)</f>
        <v>0</v>
      </c>
      <c r="G170" s="182"/>
    </row>
    <row r="171" spans="1:13" ht="13.5" thickBot="1">
      <c r="A171" s="164"/>
      <c r="B171" s="166"/>
      <c r="C171" s="166"/>
      <c r="D171" s="166"/>
      <c r="E171" s="184"/>
      <c r="F171" s="184"/>
      <c r="G171" s="102"/>
    </row>
    <row r="172" spans="1:13" s="240" customFormat="1" ht="32" customHeight="1" thickBot="1">
      <c r="A172" s="309" t="s">
        <v>118</v>
      </c>
      <c r="B172" s="307"/>
      <c r="C172" s="307"/>
      <c r="D172" s="307"/>
      <c r="E172" s="307"/>
      <c r="F172" s="308"/>
      <c r="G172" s="239"/>
    </row>
    <row r="173" spans="1:13" ht="13">
      <c r="A173" s="130"/>
      <c r="B173" s="241" t="s">
        <v>3</v>
      </c>
      <c r="C173" s="91" t="s">
        <v>26</v>
      </c>
      <c r="D173" s="92" t="s">
        <v>125</v>
      </c>
      <c r="E173" s="185"/>
      <c r="F173" s="185"/>
    </row>
    <row r="174" spans="1:13" ht="13">
      <c r="A174" s="130"/>
      <c r="B174" s="242"/>
      <c r="C174" s="243"/>
      <c r="D174" s="244"/>
      <c r="E174" s="186"/>
      <c r="F174" s="186"/>
    </row>
    <row r="175" spans="1:13" ht="13">
      <c r="A175" s="130"/>
      <c r="B175" s="245" t="s">
        <v>30</v>
      </c>
      <c r="C175" s="98"/>
      <c r="D175" s="99"/>
      <c r="E175" s="186"/>
      <c r="F175" s="186"/>
    </row>
    <row r="176" spans="1:13" ht="13">
      <c r="A176" s="130"/>
      <c r="B176" s="245"/>
      <c r="C176" s="98"/>
      <c r="D176" s="99"/>
      <c r="E176" s="186"/>
      <c r="F176" s="186"/>
    </row>
    <row r="177" spans="1:6" ht="13">
      <c r="A177" s="130"/>
      <c r="B177" s="246" t="s">
        <v>31</v>
      </c>
      <c r="C177" s="98"/>
      <c r="D177" s="99"/>
      <c r="E177" s="186"/>
      <c r="F177" s="186"/>
    </row>
    <row r="178" spans="1:6" ht="13">
      <c r="A178" s="130"/>
      <c r="B178" s="246"/>
      <c r="C178" s="98"/>
      <c r="D178" s="99"/>
      <c r="E178" s="186"/>
      <c r="F178" s="186"/>
    </row>
    <row r="179" spans="1:6" ht="13">
      <c r="A179" s="130"/>
      <c r="B179" s="247" t="s">
        <v>32</v>
      </c>
      <c r="C179" s="98"/>
      <c r="D179" s="99"/>
      <c r="E179" s="186"/>
      <c r="F179" s="186"/>
    </row>
    <row r="180" spans="1:6" ht="13">
      <c r="A180" s="130"/>
      <c r="B180" s="247"/>
      <c r="C180" s="98"/>
      <c r="D180" s="99"/>
      <c r="E180" s="186"/>
      <c r="F180" s="186"/>
    </row>
    <row r="181" spans="1:6" ht="13">
      <c r="A181" s="130"/>
      <c r="B181" s="247" t="s">
        <v>33</v>
      </c>
      <c r="C181" s="98"/>
      <c r="D181" s="99"/>
      <c r="E181" s="186"/>
      <c r="F181" s="186"/>
    </row>
    <row r="182" spans="1:6" ht="13">
      <c r="A182" s="130"/>
      <c r="B182" s="248"/>
      <c r="C182" s="98"/>
      <c r="D182" s="99"/>
      <c r="E182" s="186"/>
      <c r="F182" s="186"/>
    </row>
    <row r="183" spans="1:6" ht="87.5">
      <c r="A183" s="130"/>
      <c r="B183" s="249" t="s">
        <v>34</v>
      </c>
      <c r="C183" s="98"/>
      <c r="D183" s="99"/>
      <c r="E183" s="186"/>
      <c r="F183" s="186"/>
    </row>
    <row r="184" spans="1:6" ht="13">
      <c r="A184" s="130"/>
      <c r="B184" s="245"/>
      <c r="C184" s="98"/>
      <c r="D184" s="99"/>
      <c r="E184" s="186"/>
      <c r="F184" s="186"/>
    </row>
    <row r="185" spans="1:6" ht="13">
      <c r="A185" s="130"/>
      <c r="B185" s="247" t="s">
        <v>35</v>
      </c>
      <c r="C185" s="98"/>
      <c r="D185" s="99"/>
      <c r="E185" s="186"/>
      <c r="F185" s="186"/>
    </row>
    <row r="186" spans="1:6" ht="13">
      <c r="A186" s="130"/>
      <c r="B186" s="248"/>
      <c r="C186" s="98"/>
      <c r="D186" s="99"/>
      <c r="E186" s="186"/>
      <c r="F186" s="186"/>
    </row>
    <row r="187" spans="1:6" ht="62.5">
      <c r="A187" s="130"/>
      <c r="B187" s="249" t="s">
        <v>36</v>
      </c>
      <c r="C187" s="98"/>
      <c r="D187" s="99"/>
      <c r="E187" s="186"/>
      <c r="F187" s="186"/>
    </row>
    <row r="188" spans="1:6" ht="13">
      <c r="A188" s="130"/>
      <c r="B188" s="249"/>
      <c r="C188" s="98"/>
      <c r="D188" s="99"/>
      <c r="E188" s="186"/>
      <c r="F188" s="186"/>
    </row>
    <row r="189" spans="1:6" ht="37.5">
      <c r="A189" s="130"/>
      <c r="B189" s="249" t="s">
        <v>37</v>
      </c>
      <c r="C189" s="98"/>
      <c r="D189" s="99"/>
      <c r="E189" s="186"/>
      <c r="F189" s="186"/>
    </row>
    <row r="190" spans="1:6" ht="13">
      <c r="A190" s="130"/>
      <c r="B190" s="249"/>
      <c r="C190" s="98"/>
      <c r="D190" s="99"/>
      <c r="E190" s="186"/>
      <c r="F190" s="186"/>
    </row>
    <row r="191" spans="1:6" ht="75">
      <c r="A191" s="130"/>
      <c r="B191" s="249" t="s">
        <v>38</v>
      </c>
      <c r="C191" s="98"/>
      <c r="D191" s="99"/>
      <c r="E191" s="186"/>
      <c r="F191" s="186"/>
    </row>
    <row r="192" spans="1:6" ht="13">
      <c r="A192" s="130"/>
      <c r="B192" s="245"/>
      <c r="C192" s="98"/>
      <c r="D192" s="99"/>
      <c r="E192" s="186"/>
      <c r="F192" s="186"/>
    </row>
    <row r="193" spans="1:65" ht="25">
      <c r="A193" s="130"/>
      <c r="B193" s="249" t="s">
        <v>39</v>
      </c>
      <c r="C193" s="98"/>
      <c r="D193" s="99"/>
      <c r="E193" s="186"/>
      <c r="F193" s="186"/>
    </row>
    <row r="194" spans="1:65" ht="13">
      <c r="A194" s="130"/>
      <c r="B194" s="249"/>
      <c r="C194" s="98"/>
      <c r="D194" s="99"/>
      <c r="E194" s="186"/>
      <c r="F194" s="186"/>
    </row>
    <row r="195" spans="1:65" ht="25">
      <c r="A195" s="130"/>
      <c r="B195" s="249" t="s">
        <v>40</v>
      </c>
      <c r="C195" s="98"/>
      <c r="D195" s="99"/>
      <c r="E195" s="186"/>
      <c r="F195" s="186"/>
    </row>
    <row r="196" spans="1:65" s="187" customFormat="1" ht="13">
      <c r="A196" s="130"/>
      <c r="B196" s="249"/>
      <c r="C196" s="98"/>
      <c r="D196" s="99"/>
      <c r="E196" s="186"/>
      <c r="F196" s="186"/>
      <c r="G196" s="126"/>
      <c r="H196" s="95"/>
      <c r="I196" s="95"/>
      <c r="J196" s="95"/>
      <c r="K196" s="95"/>
      <c r="L196" s="95"/>
      <c r="M196" s="95"/>
      <c r="N196" s="95"/>
      <c r="O196" s="95"/>
      <c r="P196" s="95"/>
      <c r="Q196" s="95"/>
      <c r="R196" s="95"/>
      <c r="S196" s="95"/>
      <c r="T196" s="95"/>
      <c r="U196" s="95"/>
      <c r="V196" s="95"/>
      <c r="W196" s="95"/>
      <c r="X196" s="95"/>
      <c r="Y196" s="95"/>
      <c r="Z196" s="95"/>
      <c r="AA196" s="95"/>
      <c r="AB196" s="95"/>
      <c r="AC196" s="95"/>
      <c r="AD196" s="95"/>
      <c r="AE196" s="95"/>
      <c r="AF196" s="95"/>
      <c r="AG196" s="95"/>
      <c r="AH196" s="95"/>
      <c r="AI196" s="95"/>
      <c r="AJ196" s="95"/>
      <c r="AK196" s="95"/>
      <c r="AL196" s="95"/>
      <c r="AM196" s="95"/>
      <c r="AN196" s="95"/>
      <c r="AO196" s="95"/>
      <c r="AP196" s="95"/>
      <c r="AQ196" s="95"/>
      <c r="AR196" s="95"/>
      <c r="AS196" s="95"/>
      <c r="AT196" s="95"/>
      <c r="AU196" s="95"/>
      <c r="AV196" s="95"/>
      <c r="AW196" s="95"/>
      <c r="AX196" s="95"/>
      <c r="AY196" s="95"/>
      <c r="AZ196" s="95"/>
      <c r="BA196" s="95"/>
      <c r="BB196" s="95"/>
      <c r="BC196" s="95"/>
      <c r="BD196" s="95"/>
      <c r="BE196" s="95"/>
      <c r="BF196" s="95"/>
      <c r="BG196" s="95"/>
      <c r="BH196" s="95"/>
      <c r="BI196" s="95"/>
      <c r="BJ196" s="95"/>
      <c r="BK196" s="95"/>
      <c r="BL196" s="95"/>
      <c r="BM196" s="95"/>
    </row>
    <row r="197" spans="1:65" s="187" customFormat="1" ht="25">
      <c r="A197" s="130"/>
      <c r="B197" s="249" t="s">
        <v>41</v>
      </c>
      <c r="C197" s="98"/>
      <c r="D197" s="99"/>
      <c r="E197" s="186"/>
      <c r="F197" s="186"/>
      <c r="G197" s="126"/>
      <c r="H197" s="95"/>
      <c r="I197" s="95"/>
      <c r="J197" s="95"/>
      <c r="K197" s="95"/>
      <c r="L197" s="95"/>
      <c r="M197" s="95"/>
      <c r="N197" s="95"/>
      <c r="O197" s="95"/>
      <c r="P197" s="95"/>
      <c r="Q197" s="95"/>
      <c r="R197" s="95"/>
      <c r="S197" s="95"/>
      <c r="T197" s="95"/>
      <c r="U197" s="95"/>
      <c r="V197" s="95"/>
      <c r="W197" s="95"/>
      <c r="X197" s="95"/>
      <c r="Y197" s="95"/>
      <c r="Z197" s="95"/>
      <c r="AA197" s="95"/>
      <c r="AB197" s="95"/>
      <c r="AC197" s="95"/>
      <c r="AD197" s="95"/>
      <c r="AE197" s="95"/>
      <c r="AF197" s="95"/>
      <c r="AG197" s="95"/>
      <c r="AH197" s="95"/>
      <c r="AI197" s="95"/>
      <c r="AJ197" s="95"/>
      <c r="AK197" s="95"/>
      <c r="AL197" s="95"/>
      <c r="AM197" s="95"/>
      <c r="AN197" s="95"/>
      <c r="AO197" s="95"/>
      <c r="AP197" s="95"/>
      <c r="AQ197" s="95"/>
      <c r="AR197" s="95"/>
      <c r="AS197" s="95"/>
      <c r="AT197" s="95"/>
      <c r="AU197" s="95"/>
      <c r="AV197" s="95"/>
      <c r="AW197" s="95"/>
      <c r="AX197" s="95"/>
      <c r="AY197" s="95"/>
      <c r="AZ197" s="95"/>
      <c r="BA197" s="95"/>
      <c r="BB197" s="95"/>
      <c r="BC197" s="95"/>
      <c r="BD197" s="95"/>
      <c r="BE197" s="95"/>
      <c r="BF197" s="95"/>
      <c r="BG197" s="95"/>
      <c r="BH197" s="95"/>
      <c r="BI197" s="95"/>
      <c r="BJ197" s="95"/>
      <c r="BK197" s="95"/>
      <c r="BL197" s="95"/>
      <c r="BM197" s="95"/>
    </row>
    <row r="198" spans="1:65" s="187" customFormat="1" ht="13">
      <c r="A198" s="130"/>
      <c r="B198" s="245"/>
      <c r="C198" s="98"/>
      <c r="D198" s="99"/>
      <c r="E198" s="186"/>
      <c r="F198" s="186"/>
      <c r="G198" s="126"/>
      <c r="H198" s="95"/>
      <c r="I198" s="95"/>
      <c r="J198" s="95"/>
      <c r="K198" s="95"/>
      <c r="L198" s="95"/>
      <c r="M198" s="95"/>
      <c r="N198" s="95"/>
      <c r="O198" s="95"/>
      <c r="P198" s="95"/>
      <c r="Q198" s="95"/>
      <c r="R198" s="95"/>
      <c r="S198" s="95"/>
      <c r="T198" s="95"/>
      <c r="U198" s="95"/>
      <c r="V198" s="95"/>
      <c r="W198" s="95"/>
      <c r="X198" s="95"/>
      <c r="Y198" s="95"/>
      <c r="Z198" s="95"/>
      <c r="AA198" s="95"/>
      <c r="AB198" s="95"/>
      <c r="AC198" s="95"/>
      <c r="AD198" s="95"/>
      <c r="AE198" s="95"/>
      <c r="AF198" s="95"/>
      <c r="AG198" s="95"/>
      <c r="AH198" s="95"/>
      <c r="AI198" s="95"/>
      <c r="AJ198" s="95"/>
      <c r="AK198" s="95"/>
      <c r="AL198" s="95"/>
      <c r="AM198" s="95"/>
      <c r="AN198" s="95"/>
      <c r="AO198" s="95"/>
      <c r="AP198" s="95"/>
      <c r="AQ198" s="95"/>
      <c r="AR198" s="95"/>
      <c r="AS198" s="95"/>
      <c r="AT198" s="95"/>
      <c r="AU198" s="95"/>
      <c r="AV198" s="95"/>
      <c r="AW198" s="95"/>
      <c r="AX198" s="95"/>
      <c r="AY198" s="95"/>
      <c r="AZ198" s="95"/>
      <c r="BA198" s="95"/>
      <c r="BB198" s="95"/>
      <c r="BC198" s="95"/>
      <c r="BD198" s="95"/>
      <c r="BE198" s="95"/>
      <c r="BF198" s="95"/>
      <c r="BG198" s="95"/>
      <c r="BH198" s="95"/>
      <c r="BI198" s="95"/>
      <c r="BJ198" s="95"/>
      <c r="BK198" s="95"/>
      <c r="BL198" s="95"/>
      <c r="BM198" s="95"/>
    </row>
    <row r="199" spans="1:65" s="187" customFormat="1" ht="13">
      <c r="A199" s="130"/>
      <c r="B199" s="247" t="s">
        <v>42</v>
      </c>
      <c r="C199" s="98"/>
      <c r="D199" s="99"/>
      <c r="E199" s="186"/>
      <c r="F199" s="186"/>
      <c r="G199" s="126"/>
      <c r="H199" s="95"/>
      <c r="I199" s="95"/>
      <c r="J199" s="95"/>
      <c r="K199" s="95"/>
      <c r="L199" s="95"/>
      <c r="M199" s="95"/>
      <c r="N199" s="95"/>
      <c r="O199" s="95"/>
      <c r="P199" s="95"/>
      <c r="Q199" s="95"/>
      <c r="R199" s="95"/>
      <c r="S199" s="95"/>
      <c r="T199" s="95"/>
      <c r="U199" s="95"/>
      <c r="V199" s="95"/>
      <c r="W199" s="95"/>
      <c r="X199" s="95"/>
      <c r="Y199" s="95"/>
      <c r="Z199" s="95"/>
      <c r="AA199" s="95"/>
      <c r="AB199" s="95"/>
      <c r="AC199" s="95"/>
      <c r="AD199" s="95"/>
      <c r="AE199" s="95"/>
      <c r="AF199" s="95"/>
      <c r="AG199" s="95"/>
      <c r="AH199" s="95"/>
      <c r="AI199" s="95"/>
      <c r="AJ199" s="95"/>
      <c r="AK199" s="95"/>
      <c r="AL199" s="95"/>
      <c r="AM199" s="95"/>
      <c r="AN199" s="95"/>
      <c r="AO199" s="95"/>
      <c r="AP199" s="95"/>
      <c r="AQ199" s="95"/>
      <c r="AR199" s="95"/>
      <c r="AS199" s="95"/>
      <c r="AT199" s="95"/>
      <c r="AU199" s="95"/>
      <c r="AV199" s="95"/>
      <c r="AW199" s="95"/>
      <c r="AX199" s="95"/>
      <c r="AY199" s="95"/>
      <c r="AZ199" s="95"/>
      <c r="BA199" s="95"/>
      <c r="BB199" s="95"/>
      <c r="BC199" s="95"/>
      <c r="BD199" s="95"/>
      <c r="BE199" s="95"/>
      <c r="BF199" s="95"/>
      <c r="BG199" s="95"/>
      <c r="BH199" s="95"/>
      <c r="BI199" s="95"/>
      <c r="BJ199" s="95"/>
      <c r="BK199" s="95"/>
      <c r="BL199" s="95"/>
      <c r="BM199" s="95"/>
    </row>
    <row r="200" spans="1:65" s="187" customFormat="1" ht="13">
      <c r="A200" s="130"/>
      <c r="B200" s="248"/>
      <c r="C200" s="98"/>
      <c r="D200" s="99"/>
      <c r="E200" s="186"/>
      <c r="F200" s="186"/>
      <c r="G200" s="126"/>
      <c r="H200" s="95"/>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5"/>
      <c r="AF200" s="95"/>
      <c r="AG200" s="95"/>
      <c r="AH200" s="95"/>
      <c r="AI200" s="95"/>
      <c r="AJ200" s="95"/>
      <c r="AK200" s="95"/>
      <c r="AL200" s="95"/>
      <c r="AM200" s="95"/>
      <c r="AN200" s="95"/>
      <c r="AO200" s="95"/>
      <c r="AP200" s="95"/>
      <c r="AQ200" s="95"/>
      <c r="AR200" s="95"/>
      <c r="AS200" s="95"/>
      <c r="AT200" s="95"/>
      <c r="AU200" s="95"/>
      <c r="AV200" s="95"/>
      <c r="AW200" s="95"/>
      <c r="AX200" s="95"/>
      <c r="AY200" s="95"/>
      <c r="AZ200" s="95"/>
      <c r="BA200" s="95"/>
      <c r="BB200" s="95"/>
      <c r="BC200" s="95"/>
      <c r="BD200" s="95"/>
      <c r="BE200" s="95"/>
      <c r="BF200" s="95"/>
      <c r="BG200" s="95"/>
      <c r="BH200" s="95"/>
      <c r="BI200" s="95"/>
      <c r="BJ200" s="95"/>
      <c r="BK200" s="95"/>
      <c r="BL200" s="95"/>
      <c r="BM200" s="95"/>
    </row>
    <row r="201" spans="1:65" s="187" customFormat="1" ht="62.5">
      <c r="A201" s="130"/>
      <c r="B201" s="248" t="s">
        <v>43</v>
      </c>
      <c r="C201" s="98"/>
      <c r="D201" s="99"/>
      <c r="E201" s="186"/>
      <c r="F201" s="186"/>
      <c r="G201" s="126"/>
      <c r="H201" s="95"/>
      <c r="I201" s="95"/>
      <c r="J201" s="95"/>
      <c r="K201" s="95"/>
      <c r="L201" s="95"/>
      <c r="M201" s="95"/>
      <c r="N201" s="95"/>
      <c r="O201" s="95"/>
      <c r="P201" s="95"/>
      <c r="Q201" s="95"/>
      <c r="R201" s="95"/>
      <c r="S201" s="95"/>
      <c r="T201" s="95"/>
      <c r="U201" s="95"/>
      <c r="V201" s="95"/>
      <c r="W201" s="95"/>
      <c r="X201" s="95"/>
      <c r="Y201" s="95"/>
      <c r="Z201" s="95"/>
      <c r="AA201" s="95"/>
      <c r="AB201" s="95"/>
      <c r="AC201" s="95"/>
      <c r="AD201" s="95"/>
      <c r="AE201" s="95"/>
      <c r="AF201" s="95"/>
      <c r="AG201" s="95"/>
      <c r="AH201" s="95"/>
      <c r="AI201" s="95"/>
      <c r="AJ201" s="95"/>
      <c r="AK201" s="95"/>
      <c r="AL201" s="95"/>
      <c r="AM201" s="95"/>
      <c r="AN201" s="95"/>
      <c r="AO201" s="95"/>
      <c r="AP201" s="95"/>
      <c r="AQ201" s="95"/>
      <c r="AR201" s="95"/>
      <c r="AS201" s="95"/>
      <c r="AT201" s="95"/>
      <c r="AU201" s="95"/>
      <c r="AV201" s="95"/>
      <c r="AW201" s="95"/>
      <c r="AX201" s="95"/>
      <c r="AY201" s="95"/>
      <c r="AZ201" s="95"/>
      <c r="BA201" s="95"/>
      <c r="BB201" s="95"/>
      <c r="BC201" s="95"/>
      <c r="BD201" s="95"/>
      <c r="BE201" s="95"/>
      <c r="BF201" s="95"/>
      <c r="BG201" s="95"/>
      <c r="BH201" s="95"/>
      <c r="BI201" s="95"/>
      <c r="BJ201" s="95"/>
      <c r="BK201" s="95"/>
      <c r="BL201" s="95"/>
      <c r="BM201" s="95"/>
    </row>
    <row r="202" spans="1:65" s="187" customFormat="1" ht="13">
      <c r="A202" s="130"/>
      <c r="B202" s="248"/>
      <c r="C202" s="98"/>
      <c r="D202" s="99"/>
      <c r="E202" s="186"/>
      <c r="F202" s="186"/>
      <c r="G202" s="126"/>
      <c r="H202" s="95"/>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95"/>
      <c r="AG202" s="95"/>
      <c r="AH202" s="95"/>
      <c r="AI202" s="95"/>
      <c r="AJ202" s="95"/>
      <c r="AK202" s="95"/>
      <c r="AL202" s="95"/>
      <c r="AM202" s="95"/>
      <c r="AN202" s="95"/>
      <c r="AO202" s="95"/>
      <c r="AP202" s="95"/>
      <c r="AQ202" s="95"/>
      <c r="AR202" s="95"/>
      <c r="AS202" s="95"/>
      <c r="AT202" s="95"/>
      <c r="AU202" s="95"/>
      <c r="AV202" s="95"/>
      <c r="AW202" s="95"/>
      <c r="AX202" s="95"/>
      <c r="AY202" s="95"/>
      <c r="AZ202" s="95"/>
      <c r="BA202" s="95"/>
      <c r="BB202" s="95"/>
      <c r="BC202" s="95"/>
      <c r="BD202" s="95"/>
      <c r="BE202" s="95"/>
      <c r="BF202" s="95"/>
      <c r="BG202" s="95"/>
      <c r="BH202" s="95"/>
      <c r="BI202" s="95"/>
      <c r="BJ202" s="95"/>
      <c r="BK202" s="95"/>
      <c r="BL202" s="95"/>
      <c r="BM202" s="95"/>
    </row>
    <row r="203" spans="1:65" s="187" customFormat="1" ht="13">
      <c r="A203" s="130"/>
      <c r="B203" s="247" t="s">
        <v>44</v>
      </c>
      <c r="C203" s="98"/>
      <c r="D203" s="99"/>
      <c r="E203" s="186"/>
      <c r="F203" s="186"/>
      <c r="G203" s="126"/>
      <c r="H203" s="95"/>
      <c r="I203" s="95"/>
      <c r="J203" s="95"/>
      <c r="K203" s="95"/>
      <c r="L203" s="95"/>
      <c r="M203" s="95"/>
      <c r="N203" s="95"/>
      <c r="O203" s="95"/>
      <c r="P203" s="95"/>
      <c r="Q203" s="95"/>
      <c r="R203" s="95"/>
      <c r="S203" s="95"/>
      <c r="T203" s="95"/>
      <c r="U203" s="95"/>
      <c r="V203" s="95"/>
      <c r="W203" s="95"/>
      <c r="X203" s="95"/>
      <c r="Y203" s="95"/>
      <c r="Z203" s="95"/>
      <c r="AA203" s="95"/>
      <c r="AB203" s="95"/>
      <c r="AC203" s="95"/>
      <c r="AD203" s="95"/>
      <c r="AE203" s="95"/>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c r="BC203" s="95"/>
      <c r="BD203" s="95"/>
      <c r="BE203" s="95"/>
      <c r="BF203" s="95"/>
      <c r="BG203" s="95"/>
      <c r="BH203" s="95"/>
      <c r="BI203" s="95"/>
      <c r="BJ203" s="95"/>
      <c r="BK203" s="95"/>
      <c r="BL203" s="95"/>
      <c r="BM203" s="95"/>
    </row>
    <row r="204" spans="1:65" s="187" customFormat="1" ht="13">
      <c r="A204" s="130"/>
      <c r="B204" s="248"/>
      <c r="C204" s="98"/>
      <c r="D204" s="99"/>
      <c r="E204" s="186"/>
      <c r="F204" s="186"/>
      <c r="G204" s="126"/>
      <c r="H204" s="95"/>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95"/>
      <c r="AG204" s="95"/>
      <c r="AH204" s="95"/>
      <c r="AI204" s="95"/>
      <c r="AJ204" s="95"/>
      <c r="AK204" s="95"/>
      <c r="AL204" s="95"/>
      <c r="AM204" s="95"/>
      <c r="AN204" s="95"/>
      <c r="AO204" s="95"/>
      <c r="AP204" s="95"/>
      <c r="AQ204" s="95"/>
      <c r="AR204" s="95"/>
      <c r="AS204" s="95"/>
      <c r="AT204" s="95"/>
      <c r="AU204" s="95"/>
      <c r="AV204" s="95"/>
      <c r="AW204" s="95"/>
      <c r="AX204" s="95"/>
      <c r="AY204" s="95"/>
      <c r="AZ204" s="95"/>
      <c r="BA204" s="95"/>
      <c r="BB204" s="95"/>
      <c r="BC204" s="95"/>
      <c r="BD204" s="95"/>
      <c r="BE204" s="95"/>
      <c r="BF204" s="95"/>
      <c r="BG204" s="95"/>
      <c r="BH204" s="95"/>
      <c r="BI204" s="95"/>
      <c r="BJ204" s="95"/>
      <c r="BK204" s="95"/>
      <c r="BL204" s="95"/>
      <c r="BM204" s="95"/>
    </row>
    <row r="205" spans="1:65" s="187" customFormat="1" ht="100">
      <c r="A205" s="130"/>
      <c r="B205" s="249" t="s">
        <v>45</v>
      </c>
      <c r="C205" s="98"/>
      <c r="D205" s="99"/>
      <c r="E205" s="186"/>
      <c r="F205" s="186"/>
      <c r="G205" s="126"/>
      <c r="H205" s="95"/>
      <c r="I205" s="95"/>
      <c r="J205" s="95"/>
      <c r="K205" s="95"/>
      <c r="L205" s="95"/>
      <c r="M205" s="95"/>
      <c r="N205" s="95"/>
      <c r="O205" s="95"/>
      <c r="P205" s="95"/>
      <c r="Q205" s="95"/>
      <c r="R205" s="95"/>
      <c r="S205" s="95"/>
      <c r="T205" s="95"/>
      <c r="U205" s="95"/>
      <c r="V205" s="95"/>
      <c r="W205" s="95"/>
      <c r="X205" s="95"/>
      <c r="Y205" s="95"/>
      <c r="Z205" s="95"/>
      <c r="AA205" s="95"/>
      <c r="AB205" s="95"/>
      <c r="AC205" s="95"/>
      <c r="AD205" s="95"/>
      <c r="AE205" s="95"/>
      <c r="AF205" s="95"/>
      <c r="AG205" s="95"/>
      <c r="AH205" s="95"/>
      <c r="AI205" s="95"/>
      <c r="AJ205" s="95"/>
      <c r="AK205" s="95"/>
      <c r="AL205" s="95"/>
      <c r="AM205" s="95"/>
      <c r="AN205" s="95"/>
      <c r="AO205" s="95"/>
      <c r="AP205" s="95"/>
      <c r="AQ205" s="95"/>
      <c r="AR205" s="95"/>
      <c r="AS205" s="95"/>
      <c r="AT205" s="95"/>
      <c r="AU205" s="95"/>
      <c r="AV205" s="95"/>
      <c r="AW205" s="95"/>
      <c r="AX205" s="95"/>
      <c r="AY205" s="95"/>
      <c r="AZ205" s="95"/>
      <c r="BA205" s="95"/>
      <c r="BB205" s="95"/>
      <c r="BC205" s="95"/>
      <c r="BD205" s="95"/>
      <c r="BE205" s="95"/>
      <c r="BF205" s="95"/>
      <c r="BG205" s="95"/>
      <c r="BH205" s="95"/>
      <c r="BI205" s="95"/>
      <c r="BJ205" s="95"/>
      <c r="BK205" s="95"/>
      <c r="BL205" s="95"/>
      <c r="BM205" s="95"/>
    </row>
    <row r="206" spans="1:65" s="187" customFormat="1" ht="13">
      <c r="A206" s="130"/>
      <c r="B206" s="245"/>
      <c r="C206" s="98"/>
      <c r="D206" s="99"/>
      <c r="E206" s="186"/>
      <c r="F206" s="186"/>
      <c r="G206" s="126"/>
      <c r="H206" s="95"/>
      <c r="I206" s="95"/>
      <c r="J206" s="95"/>
      <c r="K206" s="95"/>
      <c r="L206" s="95"/>
      <c r="M206" s="95"/>
      <c r="N206" s="95"/>
      <c r="O206" s="95"/>
      <c r="P206" s="95"/>
      <c r="Q206" s="95"/>
      <c r="R206" s="95"/>
      <c r="S206" s="95"/>
      <c r="T206" s="95"/>
      <c r="U206" s="95"/>
      <c r="V206" s="95"/>
      <c r="W206" s="95"/>
      <c r="X206" s="95"/>
      <c r="Y206" s="95"/>
      <c r="Z206" s="95"/>
      <c r="AA206" s="95"/>
      <c r="AB206" s="95"/>
      <c r="AC206" s="95"/>
      <c r="AD206" s="95"/>
      <c r="AE206" s="95"/>
      <c r="AF206" s="95"/>
      <c r="AG206" s="95"/>
      <c r="AH206" s="95"/>
      <c r="AI206" s="95"/>
      <c r="AJ206" s="95"/>
      <c r="AK206" s="95"/>
      <c r="AL206" s="95"/>
      <c r="AM206" s="95"/>
      <c r="AN206" s="95"/>
      <c r="AO206" s="95"/>
      <c r="AP206" s="95"/>
      <c r="AQ206" s="95"/>
      <c r="AR206" s="95"/>
      <c r="AS206" s="95"/>
      <c r="AT206" s="95"/>
      <c r="AU206" s="95"/>
      <c r="AV206" s="95"/>
      <c r="AW206" s="95"/>
      <c r="AX206" s="95"/>
      <c r="AY206" s="95"/>
      <c r="AZ206" s="95"/>
      <c r="BA206" s="95"/>
      <c r="BB206" s="95"/>
      <c r="BC206" s="95"/>
      <c r="BD206" s="95"/>
      <c r="BE206" s="95"/>
      <c r="BF206" s="95"/>
      <c r="BG206" s="95"/>
      <c r="BH206" s="95"/>
      <c r="BI206" s="95"/>
      <c r="BJ206" s="95"/>
      <c r="BK206" s="95"/>
      <c r="BL206" s="95"/>
      <c r="BM206" s="95"/>
    </row>
    <row r="207" spans="1:65" s="187" customFormat="1" ht="13">
      <c r="A207" s="130"/>
      <c r="B207" s="247" t="s">
        <v>46</v>
      </c>
      <c r="C207" s="98"/>
      <c r="D207" s="99"/>
      <c r="E207" s="186"/>
      <c r="F207" s="186"/>
      <c r="G207" s="126"/>
      <c r="H207" s="95"/>
      <c r="I207" s="95"/>
      <c r="J207" s="95"/>
      <c r="K207" s="95"/>
      <c r="L207" s="95"/>
      <c r="M207" s="95"/>
      <c r="N207" s="95"/>
      <c r="O207" s="95"/>
      <c r="P207" s="95"/>
      <c r="Q207" s="95"/>
      <c r="R207" s="95"/>
      <c r="S207" s="95"/>
      <c r="T207" s="95"/>
      <c r="U207" s="95"/>
      <c r="V207" s="95"/>
      <c r="W207" s="95"/>
      <c r="X207" s="95"/>
      <c r="Y207" s="95"/>
      <c r="Z207" s="95"/>
      <c r="AA207" s="95"/>
      <c r="AB207" s="95"/>
      <c r="AC207" s="95"/>
      <c r="AD207" s="95"/>
      <c r="AE207" s="95"/>
      <c r="AF207" s="95"/>
      <c r="AG207" s="95"/>
      <c r="AH207" s="95"/>
      <c r="AI207" s="95"/>
      <c r="AJ207" s="95"/>
      <c r="AK207" s="95"/>
      <c r="AL207" s="95"/>
      <c r="AM207" s="95"/>
      <c r="AN207" s="95"/>
      <c r="AO207" s="95"/>
      <c r="AP207" s="95"/>
      <c r="AQ207" s="95"/>
      <c r="AR207" s="95"/>
      <c r="AS207" s="95"/>
      <c r="AT207" s="95"/>
      <c r="AU207" s="95"/>
      <c r="AV207" s="95"/>
      <c r="AW207" s="95"/>
      <c r="AX207" s="95"/>
      <c r="AY207" s="95"/>
      <c r="AZ207" s="95"/>
      <c r="BA207" s="95"/>
      <c r="BB207" s="95"/>
      <c r="BC207" s="95"/>
      <c r="BD207" s="95"/>
      <c r="BE207" s="95"/>
      <c r="BF207" s="95"/>
      <c r="BG207" s="95"/>
      <c r="BH207" s="95"/>
      <c r="BI207" s="95"/>
      <c r="BJ207" s="95"/>
      <c r="BK207" s="95"/>
      <c r="BL207" s="95"/>
      <c r="BM207" s="95"/>
    </row>
    <row r="208" spans="1:65" s="187" customFormat="1" ht="13">
      <c r="A208" s="130"/>
      <c r="B208" s="248"/>
      <c r="C208" s="98"/>
      <c r="D208" s="99"/>
      <c r="E208" s="186"/>
      <c r="F208" s="186"/>
      <c r="G208" s="126"/>
      <c r="H208" s="95"/>
      <c r="I208" s="95"/>
      <c r="J208" s="95"/>
      <c r="K208" s="95"/>
      <c r="L208" s="95"/>
      <c r="M208" s="95"/>
      <c r="N208" s="95"/>
      <c r="O208" s="95"/>
      <c r="P208" s="95"/>
      <c r="Q208" s="95"/>
      <c r="R208" s="95"/>
      <c r="S208" s="95"/>
      <c r="T208" s="95"/>
      <c r="U208" s="95"/>
      <c r="V208" s="95"/>
      <c r="W208" s="95"/>
      <c r="X208" s="95"/>
      <c r="Y208" s="95"/>
      <c r="Z208" s="95"/>
      <c r="AA208" s="95"/>
      <c r="AB208" s="95"/>
      <c r="AC208" s="95"/>
      <c r="AD208" s="95"/>
      <c r="AE208" s="95"/>
      <c r="AF208" s="95"/>
      <c r="AG208" s="95"/>
      <c r="AH208" s="95"/>
      <c r="AI208" s="95"/>
      <c r="AJ208" s="95"/>
      <c r="AK208" s="95"/>
      <c r="AL208" s="95"/>
      <c r="AM208" s="95"/>
      <c r="AN208" s="95"/>
      <c r="AO208" s="95"/>
      <c r="AP208" s="95"/>
      <c r="AQ208" s="95"/>
      <c r="AR208" s="95"/>
      <c r="AS208" s="95"/>
      <c r="AT208" s="95"/>
      <c r="AU208" s="95"/>
      <c r="AV208" s="95"/>
      <c r="AW208" s="95"/>
      <c r="AX208" s="95"/>
      <c r="AY208" s="95"/>
      <c r="AZ208" s="95"/>
      <c r="BA208" s="95"/>
      <c r="BB208" s="95"/>
      <c r="BC208" s="95"/>
      <c r="BD208" s="95"/>
      <c r="BE208" s="95"/>
      <c r="BF208" s="95"/>
      <c r="BG208" s="95"/>
      <c r="BH208" s="95"/>
      <c r="BI208" s="95"/>
      <c r="BJ208" s="95"/>
      <c r="BK208" s="95"/>
      <c r="BL208" s="95"/>
      <c r="BM208" s="95"/>
    </row>
    <row r="209" spans="1:65" s="187" customFormat="1" ht="112.5">
      <c r="A209" s="130"/>
      <c r="B209" s="248" t="s">
        <v>47</v>
      </c>
      <c r="C209" s="98"/>
      <c r="D209" s="99"/>
      <c r="E209" s="186"/>
      <c r="F209" s="186"/>
      <c r="G209" s="126"/>
      <c r="H209" s="95"/>
      <c r="I209" s="95"/>
      <c r="J209" s="95"/>
      <c r="K209" s="95"/>
      <c r="L209" s="95"/>
      <c r="M209" s="95"/>
      <c r="N209" s="95"/>
      <c r="O209" s="95"/>
      <c r="P209" s="95"/>
      <c r="Q209" s="95"/>
      <c r="R209" s="95"/>
      <c r="S209" s="95"/>
      <c r="T209" s="95"/>
      <c r="U209" s="95"/>
      <c r="V209" s="95"/>
      <c r="W209" s="95"/>
      <c r="X209" s="95"/>
      <c r="Y209" s="95"/>
      <c r="Z209" s="95"/>
      <c r="AA209" s="95"/>
      <c r="AB209" s="95"/>
      <c r="AC209" s="95"/>
      <c r="AD209" s="95"/>
      <c r="AE209" s="95"/>
      <c r="AF209" s="95"/>
      <c r="AG209" s="95"/>
      <c r="AH209" s="95"/>
      <c r="AI209" s="95"/>
      <c r="AJ209" s="95"/>
      <c r="AK209" s="95"/>
      <c r="AL209" s="95"/>
      <c r="AM209" s="95"/>
      <c r="AN209" s="95"/>
      <c r="AO209" s="95"/>
      <c r="AP209" s="95"/>
      <c r="AQ209" s="95"/>
      <c r="AR209" s="95"/>
      <c r="AS209" s="95"/>
      <c r="AT209" s="95"/>
      <c r="AU209" s="95"/>
      <c r="AV209" s="95"/>
      <c r="AW209" s="95"/>
      <c r="AX209" s="95"/>
      <c r="AY209" s="95"/>
      <c r="AZ209" s="95"/>
      <c r="BA209" s="95"/>
      <c r="BB209" s="95"/>
      <c r="BC209" s="95"/>
      <c r="BD209" s="95"/>
      <c r="BE209" s="95"/>
      <c r="BF209" s="95"/>
      <c r="BG209" s="95"/>
      <c r="BH209" s="95"/>
      <c r="BI209" s="95"/>
      <c r="BJ209" s="95"/>
      <c r="BK209" s="95"/>
      <c r="BL209" s="95"/>
      <c r="BM209" s="95"/>
    </row>
    <row r="210" spans="1:65" s="187" customFormat="1" ht="13">
      <c r="A210" s="130"/>
      <c r="B210" s="248"/>
      <c r="C210" s="98"/>
      <c r="D210" s="99"/>
      <c r="E210" s="186"/>
      <c r="F210" s="186"/>
      <c r="G210" s="126"/>
      <c r="H210" s="95"/>
      <c r="I210" s="95"/>
      <c r="J210" s="95"/>
      <c r="K210" s="95"/>
      <c r="L210" s="95"/>
      <c r="M210" s="95"/>
      <c r="N210" s="95"/>
      <c r="O210" s="95"/>
      <c r="P210" s="95"/>
      <c r="Q210" s="95"/>
      <c r="R210" s="95"/>
      <c r="S210" s="95"/>
      <c r="T210" s="95"/>
      <c r="U210" s="95"/>
      <c r="V210" s="95"/>
      <c r="W210" s="95"/>
      <c r="X210" s="95"/>
      <c r="Y210" s="95"/>
      <c r="Z210" s="95"/>
      <c r="AA210" s="95"/>
      <c r="AB210" s="95"/>
      <c r="AC210" s="95"/>
      <c r="AD210" s="95"/>
      <c r="AE210" s="95"/>
      <c r="AF210" s="95"/>
      <c r="AG210" s="95"/>
      <c r="AH210" s="95"/>
      <c r="AI210" s="95"/>
      <c r="AJ210" s="95"/>
      <c r="AK210" s="95"/>
      <c r="AL210" s="95"/>
      <c r="AM210" s="95"/>
      <c r="AN210" s="95"/>
      <c r="AO210" s="95"/>
      <c r="AP210" s="95"/>
      <c r="AQ210" s="95"/>
      <c r="AR210" s="95"/>
      <c r="AS210" s="95"/>
      <c r="AT210" s="95"/>
      <c r="AU210" s="95"/>
      <c r="AV210" s="95"/>
      <c r="AW210" s="95"/>
      <c r="AX210" s="95"/>
      <c r="AY210" s="95"/>
      <c r="AZ210" s="95"/>
      <c r="BA210" s="95"/>
      <c r="BB210" s="95"/>
      <c r="BC210" s="95"/>
      <c r="BD210" s="95"/>
      <c r="BE210" s="95"/>
      <c r="BF210" s="95"/>
      <c r="BG210" s="95"/>
      <c r="BH210" s="95"/>
      <c r="BI210" s="95"/>
      <c r="BJ210" s="95"/>
      <c r="BK210" s="95"/>
      <c r="BL210" s="95"/>
      <c r="BM210" s="95"/>
    </row>
    <row r="211" spans="1:65" s="187" customFormat="1" ht="13">
      <c r="A211" s="130"/>
      <c r="B211" s="247" t="s">
        <v>48</v>
      </c>
      <c r="C211" s="98"/>
      <c r="D211" s="99"/>
      <c r="E211" s="186"/>
      <c r="F211" s="186"/>
      <c r="G211" s="126"/>
      <c r="H211" s="95"/>
      <c r="I211" s="95"/>
      <c r="J211" s="95"/>
      <c r="K211" s="95"/>
      <c r="L211" s="95"/>
      <c r="M211" s="95"/>
      <c r="N211" s="95"/>
      <c r="O211" s="95"/>
      <c r="P211" s="95"/>
      <c r="Q211" s="95"/>
      <c r="R211" s="95"/>
      <c r="S211" s="95"/>
      <c r="T211" s="95"/>
      <c r="U211" s="95"/>
      <c r="V211" s="95"/>
      <c r="W211" s="95"/>
      <c r="X211" s="95"/>
      <c r="Y211" s="95"/>
      <c r="Z211" s="95"/>
      <c r="AA211" s="95"/>
      <c r="AB211" s="95"/>
      <c r="AC211" s="95"/>
      <c r="AD211" s="95"/>
      <c r="AE211" s="95"/>
      <c r="AF211" s="95"/>
      <c r="AG211" s="95"/>
      <c r="AH211" s="95"/>
      <c r="AI211" s="95"/>
      <c r="AJ211" s="95"/>
      <c r="AK211" s="95"/>
      <c r="AL211" s="95"/>
      <c r="AM211" s="95"/>
      <c r="AN211" s="95"/>
      <c r="AO211" s="95"/>
      <c r="AP211" s="95"/>
      <c r="AQ211" s="95"/>
      <c r="AR211" s="95"/>
      <c r="AS211" s="95"/>
      <c r="AT211" s="95"/>
      <c r="AU211" s="95"/>
      <c r="AV211" s="95"/>
      <c r="AW211" s="95"/>
      <c r="AX211" s="95"/>
      <c r="AY211" s="95"/>
      <c r="AZ211" s="95"/>
      <c r="BA211" s="95"/>
      <c r="BB211" s="95"/>
      <c r="BC211" s="95"/>
      <c r="BD211" s="95"/>
      <c r="BE211" s="95"/>
      <c r="BF211" s="95"/>
      <c r="BG211" s="95"/>
      <c r="BH211" s="95"/>
      <c r="BI211" s="95"/>
      <c r="BJ211" s="95"/>
      <c r="BK211" s="95"/>
      <c r="BL211" s="95"/>
      <c r="BM211" s="95"/>
    </row>
    <row r="212" spans="1:65" s="187" customFormat="1" ht="13">
      <c r="A212" s="130"/>
      <c r="B212" s="248"/>
      <c r="C212" s="98"/>
      <c r="D212" s="99"/>
      <c r="E212" s="186"/>
      <c r="F212" s="186"/>
      <c r="G212" s="126"/>
      <c r="H212" s="95"/>
      <c r="I212" s="95"/>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c r="AI212" s="95"/>
      <c r="AJ212" s="95"/>
      <c r="AK212" s="95"/>
      <c r="AL212" s="95"/>
      <c r="AM212" s="95"/>
      <c r="AN212" s="95"/>
      <c r="AO212" s="95"/>
      <c r="AP212" s="95"/>
      <c r="AQ212" s="95"/>
      <c r="AR212" s="95"/>
      <c r="AS212" s="95"/>
      <c r="AT212" s="95"/>
      <c r="AU212" s="95"/>
      <c r="AV212" s="95"/>
      <c r="AW212" s="95"/>
      <c r="AX212" s="95"/>
      <c r="AY212" s="95"/>
      <c r="AZ212" s="95"/>
      <c r="BA212" s="95"/>
      <c r="BB212" s="95"/>
      <c r="BC212" s="95"/>
      <c r="BD212" s="95"/>
      <c r="BE212" s="95"/>
      <c r="BF212" s="95"/>
      <c r="BG212" s="95"/>
      <c r="BH212" s="95"/>
      <c r="BI212" s="95"/>
      <c r="BJ212" s="95"/>
      <c r="BK212" s="95"/>
      <c r="BL212" s="95"/>
      <c r="BM212" s="95"/>
    </row>
    <row r="213" spans="1:65" s="187" customFormat="1" ht="37.5">
      <c r="A213" s="130"/>
      <c r="B213" s="248" t="s">
        <v>49</v>
      </c>
      <c r="C213" s="98"/>
      <c r="D213" s="99"/>
      <c r="E213" s="186"/>
      <c r="F213" s="186"/>
      <c r="G213" s="126"/>
      <c r="H213" s="95"/>
      <c r="I213" s="95"/>
      <c r="J213" s="95"/>
      <c r="K213" s="95"/>
      <c r="L213" s="95"/>
      <c r="M213" s="95"/>
      <c r="N213" s="95"/>
      <c r="O213" s="95"/>
      <c r="P213" s="95"/>
      <c r="Q213" s="95"/>
      <c r="R213" s="95"/>
      <c r="S213" s="95"/>
      <c r="T213" s="95"/>
      <c r="U213" s="95"/>
      <c r="V213" s="95"/>
      <c r="W213" s="95"/>
      <c r="X213" s="95"/>
      <c r="Y213" s="95"/>
      <c r="Z213" s="95"/>
      <c r="AA213" s="95"/>
      <c r="AB213" s="95"/>
      <c r="AC213" s="95"/>
      <c r="AD213" s="95"/>
      <c r="AE213" s="95"/>
      <c r="AF213" s="95"/>
      <c r="AG213" s="95"/>
      <c r="AH213" s="95"/>
      <c r="AI213" s="95"/>
      <c r="AJ213" s="95"/>
      <c r="AK213" s="95"/>
      <c r="AL213" s="95"/>
      <c r="AM213" s="95"/>
      <c r="AN213" s="95"/>
      <c r="AO213" s="95"/>
      <c r="AP213" s="95"/>
      <c r="AQ213" s="95"/>
      <c r="AR213" s="95"/>
      <c r="AS213" s="95"/>
      <c r="AT213" s="95"/>
      <c r="AU213" s="95"/>
      <c r="AV213" s="95"/>
      <c r="AW213" s="95"/>
      <c r="AX213" s="95"/>
      <c r="AY213" s="95"/>
      <c r="AZ213" s="95"/>
      <c r="BA213" s="95"/>
      <c r="BB213" s="95"/>
      <c r="BC213" s="95"/>
      <c r="BD213" s="95"/>
      <c r="BE213" s="95"/>
      <c r="BF213" s="95"/>
      <c r="BG213" s="95"/>
      <c r="BH213" s="95"/>
      <c r="BI213" s="95"/>
      <c r="BJ213" s="95"/>
      <c r="BK213" s="95"/>
      <c r="BL213" s="95"/>
      <c r="BM213" s="95"/>
    </row>
    <row r="214" spans="1:65" s="187" customFormat="1" ht="13">
      <c r="A214" s="130"/>
      <c r="B214" s="245"/>
      <c r="C214" s="98"/>
      <c r="D214" s="99"/>
      <c r="E214" s="186"/>
      <c r="F214" s="186"/>
      <c r="G214" s="126"/>
      <c r="H214" s="95"/>
      <c r="I214" s="95"/>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95"/>
      <c r="AG214" s="95"/>
      <c r="AH214" s="95"/>
      <c r="AI214" s="95"/>
      <c r="AJ214" s="95"/>
      <c r="AK214" s="95"/>
      <c r="AL214" s="95"/>
      <c r="AM214" s="95"/>
      <c r="AN214" s="95"/>
      <c r="AO214" s="95"/>
      <c r="AP214" s="95"/>
      <c r="AQ214" s="95"/>
      <c r="AR214" s="95"/>
      <c r="AS214" s="95"/>
      <c r="AT214" s="95"/>
      <c r="AU214" s="95"/>
      <c r="AV214" s="95"/>
      <c r="AW214" s="95"/>
      <c r="AX214" s="95"/>
      <c r="AY214" s="95"/>
      <c r="AZ214" s="95"/>
      <c r="BA214" s="95"/>
      <c r="BB214" s="95"/>
      <c r="BC214" s="95"/>
      <c r="BD214" s="95"/>
      <c r="BE214" s="95"/>
      <c r="BF214" s="95"/>
      <c r="BG214" s="95"/>
      <c r="BH214" s="95"/>
      <c r="BI214" s="95"/>
      <c r="BJ214" s="95"/>
      <c r="BK214" s="95"/>
      <c r="BL214" s="95"/>
      <c r="BM214" s="95"/>
    </row>
    <row r="215" spans="1:65" s="187" customFormat="1" ht="13">
      <c r="A215" s="130"/>
      <c r="B215" s="250" t="s">
        <v>126</v>
      </c>
      <c r="C215" s="113"/>
      <c r="D215" s="111"/>
      <c r="E215" s="186"/>
      <c r="F215" s="186"/>
      <c r="G215" s="126"/>
      <c r="H215" s="95"/>
      <c r="I215" s="95"/>
      <c r="J215" s="95"/>
      <c r="K215" s="95"/>
      <c r="L215" s="95"/>
      <c r="M215" s="95"/>
      <c r="N215" s="95"/>
      <c r="O215" s="95"/>
      <c r="P215" s="95"/>
      <c r="Q215" s="95"/>
      <c r="R215" s="95"/>
      <c r="S215" s="95"/>
      <c r="T215" s="95"/>
      <c r="U215" s="95"/>
      <c r="V215" s="95"/>
      <c r="W215" s="95"/>
      <c r="X215" s="95"/>
      <c r="Y215" s="95"/>
      <c r="Z215" s="95"/>
      <c r="AA215" s="95"/>
      <c r="AB215" s="95"/>
      <c r="AC215" s="95"/>
      <c r="AD215" s="95"/>
      <c r="AE215" s="95"/>
      <c r="AF215" s="95"/>
      <c r="AG215" s="95"/>
      <c r="AH215" s="95"/>
      <c r="AI215" s="95"/>
      <c r="AJ215" s="95"/>
      <c r="AK215" s="95"/>
      <c r="AL215" s="95"/>
      <c r="AM215" s="95"/>
      <c r="AN215" s="95"/>
      <c r="AO215" s="95"/>
      <c r="AP215" s="95"/>
      <c r="AQ215" s="95"/>
      <c r="AR215" s="95"/>
      <c r="AS215" s="95"/>
      <c r="AT215" s="95"/>
      <c r="AU215" s="95"/>
      <c r="AV215" s="95"/>
      <c r="AW215" s="95"/>
      <c r="AX215" s="95"/>
      <c r="AY215" s="95"/>
      <c r="AZ215" s="95"/>
      <c r="BA215" s="95"/>
      <c r="BB215" s="95"/>
      <c r="BC215" s="95"/>
      <c r="BD215" s="95"/>
      <c r="BE215" s="95"/>
      <c r="BF215" s="95"/>
      <c r="BG215" s="95"/>
      <c r="BH215" s="95"/>
      <c r="BI215" s="95"/>
      <c r="BJ215" s="95"/>
      <c r="BK215" s="95"/>
      <c r="BL215" s="95"/>
      <c r="BM215" s="95"/>
    </row>
    <row r="216" spans="1:65" s="187" customFormat="1" ht="13">
      <c r="A216" s="130"/>
      <c r="B216" s="250"/>
      <c r="C216" s="113"/>
      <c r="D216" s="111"/>
      <c r="E216" s="186"/>
      <c r="F216" s="186"/>
      <c r="G216" s="126"/>
      <c r="H216" s="95"/>
      <c r="I216" s="95"/>
      <c r="J216" s="95"/>
      <c r="K216" s="95"/>
      <c r="L216" s="95"/>
      <c r="M216" s="95"/>
      <c r="N216" s="95"/>
      <c r="O216" s="95"/>
      <c r="P216" s="95"/>
      <c r="Q216" s="95"/>
      <c r="R216" s="95"/>
      <c r="S216" s="95"/>
      <c r="T216" s="95"/>
      <c r="U216" s="95"/>
      <c r="V216" s="95"/>
      <c r="W216" s="95"/>
      <c r="X216" s="95"/>
      <c r="Y216" s="95"/>
      <c r="Z216" s="95"/>
      <c r="AA216" s="95"/>
      <c r="AB216" s="95"/>
      <c r="AC216" s="95"/>
      <c r="AD216" s="95"/>
      <c r="AE216" s="95"/>
      <c r="AF216" s="95"/>
      <c r="AG216" s="95"/>
      <c r="AH216" s="95"/>
      <c r="AI216" s="95"/>
      <c r="AJ216" s="95"/>
      <c r="AK216" s="95"/>
      <c r="AL216" s="95"/>
      <c r="AM216" s="95"/>
      <c r="AN216" s="95"/>
      <c r="AO216" s="95"/>
      <c r="AP216" s="95"/>
      <c r="AQ216" s="95"/>
      <c r="AR216" s="95"/>
      <c r="AS216" s="95"/>
      <c r="AT216" s="95"/>
      <c r="AU216" s="95"/>
      <c r="AV216" s="95"/>
      <c r="AW216" s="95"/>
      <c r="AX216" s="95"/>
      <c r="AY216" s="95"/>
      <c r="AZ216" s="95"/>
      <c r="BA216" s="95"/>
      <c r="BB216" s="95"/>
      <c r="BC216" s="95"/>
      <c r="BD216" s="95"/>
      <c r="BE216" s="95"/>
      <c r="BF216" s="95"/>
      <c r="BG216" s="95"/>
      <c r="BH216" s="95"/>
      <c r="BI216" s="95"/>
      <c r="BJ216" s="95"/>
      <c r="BK216" s="95"/>
      <c r="BL216" s="95"/>
      <c r="BM216" s="95"/>
    </row>
    <row r="217" spans="1:65" s="187" customFormat="1" ht="13">
      <c r="A217" s="130"/>
      <c r="B217" s="251"/>
      <c r="C217" s="130"/>
      <c r="D217" s="131"/>
      <c r="E217" s="186"/>
      <c r="F217" s="186"/>
      <c r="G217" s="126"/>
      <c r="H217" s="95"/>
      <c r="I217" s="95"/>
      <c r="J217" s="95"/>
      <c r="K217" s="95"/>
      <c r="L217" s="95"/>
      <c r="M217" s="95"/>
      <c r="N217" s="95"/>
      <c r="O217" s="95"/>
      <c r="P217" s="95"/>
      <c r="Q217" s="95"/>
      <c r="R217" s="95"/>
      <c r="S217" s="95"/>
      <c r="T217" s="95"/>
      <c r="U217" s="95"/>
      <c r="V217" s="95"/>
      <c r="W217" s="95"/>
      <c r="X217" s="95"/>
      <c r="Y217" s="95"/>
      <c r="Z217" s="95"/>
      <c r="AA217" s="95"/>
      <c r="AB217" s="95"/>
      <c r="AC217" s="95"/>
      <c r="AD217" s="95"/>
      <c r="AE217" s="95"/>
      <c r="AF217" s="95"/>
      <c r="AG217" s="95"/>
      <c r="AH217" s="95"/>
      <c r="AI217" s="95"/>
      <c r="AJ217" s="95"/>
      <c r="AK217" s="95"/>
      <c r="AL217" s="95"/>
      <c r="AM217" s="95"/>
      <c r="AN217" s="95"/>
      <c r="AO217" s="95"/>
      <c r="AP217" s="95"/>
      <c r="AQ217" s="95"/>
      <c r="AR217" s="95"/>
      <c r="AS217" s="95"/>
      <c r="AT217" s="95"/>
      <c r="AU217" s="95"/>
      <c r="AV217" s="95"/>
      <c r="AW217" s="95"/>
      <c r="AX217" s="95"/>
      <c r="AY217" s="95"/>
      <c r="AZ217" s="95"/>
      <c r="BA217" s="95"/>
      <c r="BB217" s="95"/>
      <c r="BC217" s="95"/>
      <c r="BD217" s="95"/>
      <c r="BE217" s="95"/>
      <c r="BF217" s="95"/>
      <c r="BG217" s="95"/>
      <c r="BH217" s="95"/>
      <c r="BI217" s="95"/>
      <c r="BJ217" s="95"/>
      <c r="BK217" s="95"/>
      <c r="BL217" s="95"/>
      <c r="BM217" s="95"/>
    </row>
    <row r="218" spans="1:65" s="187" customFormat="1" ht="13">
      <c r="A218" s="130"/>
      <c r="B218" s="251" t="s">
        <v>127</v>
      </c>
      <c r="C218" s="130"/>
      <c r="D218" s="131"/>
      <c r="E218" s="186"/>
      <c r="F218" s="186"/>
      <c r="G218" s="126"/>
      <c r="H218" s="95"/>
      <c r="I218" s="95"/>
      <c r="J218" s="95"/>
      <c r="K218" s="95"/>
      <c r="L218" s="95"/>
      <c r="M218" s="95"/>
      <c r="N218" s="95"/>
      <c r="O218" s="95"/>
      <c r="P218" s="95"/>
      <c r="Q218" s="95"/>
      <c r="R218" s="95"/>
      <c r="S218" s="95"/>
      <c r="T218" s="95"/>
      <c r="U218" s="95"/>
      <c r="V218" s="95"/>
      <c r="W218" s="95"/>
      <c r="X218" s="95"/>
      <c r="Y218" s="95"/>
      <c r="Z218" s="95"/>
      <c r="AA218" s="95"/>
      <c r="AB218" s="95"/>
      <c r="AC218" s="95"/>
      <c r="AD218" s="95"/>
      <c r="AE218" s="95"/>
      <c r="AF218" s="95"/>
      <c r="AG218" s="95"/>
      <c r="AH218" s="95"/>
      <c r="AI218" s="95"/>
      <c r="AJ218" s="95"/>
      <c r="AK218" s="95"/>
      <c r="AL218" s="95"/>
      <c r="AM218" s="95"/>
      <c r="AN218" s="95"/>
      <c r="AO218" s="95"/>
      <c r="AP218" s="95"/>
      <c r="AQ218" s="95"/>
      <c r="AR218" s="95"/>
      <c r="AS218" s="95"/>
      <c r="AT218" s="95"/>
      <c r="AU218" s="95"/>
      <c r="AV218" s="95"/>
      <c r="AW218" s="95"/>
      <c r="AX218" s="95"/>
      <c r="AY218" s="95"/>
      <c r="AZ218" s="95"/>
      <c r="BA218" s="95"/>
      <c r="BB218" s="95"/>
      <c r="BC218" s="95"/>
      <c r="BD218" s="95"/>
      <c r="BE218" s="95"/>
      <c r="BF218" s="95"/>
      <c r="BG218" s="95"/>
      <c r="BH218" s="95"/>
      <c r="BI218" s="95"/>
      <c r="BJ218" s="95"/>
      <c r="BK218" s="95"/>
      <c r="BL218" s="95"/>
      <c r="BM218" s="95"/>
    </row>
    <row r="219" spans="1:65" s="187" customFormat="1">
      <c r="A219" s="130"/>
      <c r="B219" s="191"/>
      <c r="C219" s="130"/>
      <c r="D219" s="131"/>
      <c r="E219" s="186"/>
      <c r="F219" s="186"/>
      <c r="G219" s="126"/>
      <c r="H219" s="95"/>
      <c r="I219" s="95"/>
      <c r="J219" s="95"/>
      <c r="K219" s="95"/>
      <c r="L219" s="95"/>
      <c r="M219" s="95"/>
      <c r="N219" s="95"/>
      <c r="O219" s="95"/>
      <c r="P219" s="95"/>
      <c r="Q219" s="95"/>
      <c r="R219" s="95"/>
      <c r="S219" s="95"/>
      <c r="T219" s="95"/>
      <c r="U219" s="95"/>
      <c r="V219" s="95"/>
      <c r="W219" s="95"/>
      <c r="X219" s="95"/>
      <c r="Y219" s="95"/>
      <c r="Z219" s="95"/>
      <c r="AA219" s="95"/>
      <c r="AB219" s="95"/>
      <c r="AC219" s="95"/>
      <c r="AD219" s="95"/>
      <c r="AE219" s="95"/>
      <c r="AF219" s="95"/>
      <c r="AG219" s="95"/>
      <c r="AH219" s="95"/>
      <c r="AI219" s="95"/>
      <c r="AJ219" s="95"/>
      <c r="AK219" s="95"/>
      <c r="AL219" s="95"/>
      <c r="AM219" s="95"/>
      <c r="AN219" s="95"/>
      <c r="AO219" s="95"/>
      <c r="AP219" s="95"/>
      <c r="AQ219" s="95"/>
      <c r="AR219" s="95"/>
      <c r="AS219" s="95"/>
      <c r="AT219" s="95"/>
      <c r="AU219" s="95"/>
      <c r="AV219" s="95"/>
      <c r="AW219" s="95"/>
      <c r="AX219" s="95"/>
      <c r="AY219" s="95"/>
      <c r="AZ219" s="95"/>
      <c r="BA219" s="95"/>
      <c r="BB219" s="95"/>
      <c r="BC219" s="95"/>
      <c r="BD219" s="95"/>
      <c r="BE219" s="95"/>
      <c r="BF219" s="95"/>
      <c r="BG219" s="95"/>
      <c r="BH219" s="95"/>
      <c r="BI219" s="95"/>
      <c r="BJ219" s="95"/>
      <c r="BK219" s="95"/>
      <c r="BL219" s="95"/>
      <c r="BM219" s="95"/>
    </row>
    <row r="220" spans="1:65" s="187" customFormat="1">
      <c r="A220" s="130"/>
      <c r="B220" s="191" t="s">
        <v>128</v>
      </c>
      <c r="C220" s="130" t="s">
        <v>54</v>
      </c>
      <c r="D220" s="131">
        <v>20</v>
      </c>
      <c r="E220" s="186"/>
      <c r="F220" s="186">
        <f>D220*E220</f>
        <v>0</v>
      </c>
      <c r="G220" s="126"/>
      <c r="H220" s="95"/>
      <c r="I220" s="95"/>
      <c r="J220" s="95"/>
      <c r="K220" s="95"/>
      <c r="L220" s="95"/>
      <c r="M220" s="95"/>
      <c r="N220" s="95"/>
      <c r="O220" s="95"/>
      <c r="P220" s="95"/>
      <c r="Q220" s="95"/>
      <c r="R220" s="95"/>
      <c r="S220" s="95"/>
      <c r="T220" s="95"/>
      <c r="U220" s="95"/>
      <c r="V220" s="95"/>
      <c r="W220" s="95"/>
      <c r="X220" s="95"/>
      <c r="Y220" s="95"/>
      <c r="Z220" s="95"/>
      <c r="AA220" s="95"/>
      <c r="AB220" s="95"/>
      <c r="AC220" s="95"/>
      <c r="AD220" s="95"/>
      <c r="AE220" s="95"/>
      <c r="AF220" s="95"/>
      <c r="AG220" s="95"/>
      <c r="AH220" s="95"/>
      <c r="AI220" s="95"/>
      <c r="AJ220" s="95"/>
      <c r="AK220" s="95"/>
      <c r="AL220" s="95"/>
      <c r="AM220" s="95"/>
      <c r="AN220" s="95"/>
      <c r="AO220" s="95"/>
      <c r="AP220" s="95"/>
      <c r="AQ220" s="95"/>
      <c r="AR220" s="95"/>
      <c r="AS220" s="95"/>
      <c r="AT220" s="95"/>
      <c r="AU220" s="95"/>
      <c r="AV220" s="95"/>
      <c r="AW220" s="95"/>
      <c r="AX220" s="95"/>
      <c r="AY220" s="95"/>
      <c r="AZ220" s="95"/>
      <c r="BA220" s="95"/>
      <c r="BB220" s="95"/>
      <c r="BC220" s="95"/>
      <c r="BD220" s="95"/>
      <c r="BE220" s="95"/>
      <c r="BF220" s="95"/>
      <c r="BG220" s="95"/>
      <c r="BH220" s="95"/>
      <c r="BI220" s="95"/>
      <c r="BJ220" s="95"/>
      <c r="BK220" s="95"/>
      <c r="BL220" s="95"/>
      <c r="BM220" s="95"/>
    </row>
    <row r="221" spans="1:65" s="187" customFormat="1">
      <c r="A221" s="130"/>
      <c r="B221" s="191" t="s">
        <v>129</v>
      </c>
      <c r="C221" s="128" t="s">
        <v>54</v>
      </c>
      <c r="D221" s="131">
        <v>18</v>
      </c>
      <c r="E221" s="186"/>
      <c r="F221" s="186">
        <f t="shared" ref="F221:F291" si="7">D221*E221</f>
        <v>0</v>
      </c>
      <c r="G221" s="126"/>
      <c r="H221" s="95"/>
      <c r="I221" s="95"/>
      <c r="J221" s="95"/>
      <c r="K221" s="95"/>
      <c r="L221" s="95"/>
      <c r="M221" s="95"/>
      <c r="N221" s="95"/>
      <c r="O221" s="95"/>
      <c r="P221" s="95"/>
      <c r="Q221" s="95"/>
      <c r="R221" s="95"/>
      <c r="S221" s="95"/>
      <c r="T221" s="95"/>
      <c r="U221" s="95"/>
      <c r="V221" s="95"/>
      <c r="W221" s="95"/>
      <c r="X221" s="95"/>
      <c r="Y221" s="95"/>
      <c r="Z221" s="95"/>
      <c r="AA221" s="95"/>
      <c r="AB221" s="95"/>
      <c r="AC221" s="95"/>
      <c r="AD221" s="95"/>
      <c r="AE221" s="95"/>
      <c r="AF221" s="95"/>
      <c r="AG221" s="95"/>
      <c r="AH221" s="95"/>
      <c r="AI221" s="95"/>
      <c r="AJ221" s="95"/>
      <c r="AK221" s="95"/>
      <c r="AL221" s="95"/>
      <c r="AM221" s="95"/>
      <c r="AN221" s="95"/>
      <c r="AO221" s="95"/>
      <c r="AP221" s="95"/>
      <c r="AQ221" s="95"/>
      <c r="AR221" s="95"/>
      <c r="AS221" s="95"/>
      <c r="AT221" s="95"/>
      <c r="AU221" s="95"/>
      <c r="AV221" s="95"/>
      <c r="AW221" s="95"/>
      <c r="AX221" s="95"/>
      <c r="AY221" s="95"/>
      <c r="AZ221" s="95"/>
      <c r="BA221" s="95"/>
      <c r="BB221" s="95"/>
      <c r="BC221" s="95"/>
      <c r="BD221" s="95"/>
      <c r="BE221" s="95"/>
      <c r="BF221" s="95"/>
      <c r="BG221" s="95"/>
      <c r="BH221" s="95"/>
      <c r="BI221" s="95"/>
      <c r="BJ221" s="95"/>
      <c r="BK221" s="95"/>
      <c r="BL221" s="95"/>
      <c r="BM221" s="95"/>
    </row>
    <row r="222" spans="1:65" s="187" customFormat="1" ht="14.5">
      <c r="A222" s="130"/>
      <c r="B222" s="191" t="s">
        <v>130</v>
      </c>
      <c r="C222" s="128" t="s">
        <v>348</v>
      </c>
      <c r="D222" s="131">
        <v>72</v>
      </c>
      <c r="E222" s="186"/>
      <c r="F222" s="186">
        <f t="shared" si="7"/>
        <v>0</v>
      </c>
      <c r="G222" s="126"/>
      <c r="H222" s="95"/>
      <c r="I222" s="95"/>
      <c r="J222" s="95"/>
      <c r="K222" s="95"/>
      <c r="L222" s="95"/>
      <c r="M222" s="95"/>
      <c r="N222" s="95"/>
      <c r="O222" s="95"/>
      <c r="P222" s="95"/>
      <c r="Q222" s="95"/>
      <c r="R222" s="95"/>
      <c r="S222" s="95"/>
      <c r="T222" s="95"/>
      <c r="U222" s="95"/>
      <c r="V222" s="95"/>
      <c r="W222" s="95"/>
      <c r="X222" s="95"/>
      <c r="Y222" s="95"/>
      <c r="Z222" s="95"/>
      <c r="AA222" s="95"/>
      <c r="AB222" s="95"/>
      <c r="AC222" s="95"/>
      <c r="AD222" s="95"/>
      <c r="AE222" s="95"/>
      <c r="AF222" s="95"/>
      <c r="AG222" s="95"/>
      <c r="AH222" s="95"/>
      <c r="AI222" s="95"/>
      <c r="AJ222" s="95"/>
      <c r="AK222" s="95"/>
      <c r="AL222" s="95"/>
      <c r="AM222" s="95"/>
      <c r="AN222" s="95"/>
      <c r="AO222" s="95"/>
      <c r="AP222" s="95"/>
      <c r="AQ222" s="95"/>
      <c r="AR222" s="95"/>
      <c r="AS222" s="95"/>
      <c r="AT222" s="95"/>
      <c r="AU222" s="95"/>
      <c r="AV222" s="95"/>
      <c r="AW222" s="95"/>
      <c r="AX222" s="95"/>
      <c r="AY222" s="95"/>
      <c r="AZ222" s="95"/>
      <c r="BA222" s="95"/>
      <c r="BB222" s="95"/>
      <c r="BC222" s="95"/>
      <c r="BD222" s="95"/>
      <c r="BE222" s="95"/>
      <c r="BF222" s="95"/>
      <c r="BG222" s="95"/>
      <c r="BH222" s="95"/>
      <c r="BI222" s="95"/>
      <c r="BJ222" s="95"/>
      <c r="BK222" s="95"/>
      <c r="BL222" s="95"/>
      <c r="BM222" s="95"/>
    </row>
    <row r="223" spans="1:65" s="187" customFormat="1" ht="14.5">
      <c r="A223" s="130"/>
      <c r="B223" s="191" t="s">
        <v>131</v>
      </c>
      <c r="C223" s="128" t="s">
        <v>348</v>
      </c>
      <c r="D223" s="131">
        <v>72</v>
      </c>
      <c r="E223" s="186"/>
      <c r="F223" s="186">
        <f t="shared" si="7"/>
        <v>0</v>
      </c>
      <c r="G223" s="126"/>
      <c r="H223" s="95"/>
      <c r="I223" s="95"/>
      <c r="J223" s="95"/>
      <c r="K223" s="95"/>
      <c r="L223" s="95"/>
      <c r="M223" s="95"/>
      <c r="N223" s="95"/>
      <c r="O223" s="95"/>
      <c r="P223" s="95"/>
      <c r="Q223" s="95"/>
      <c r="R223" s="95"/>
      <c r="S223" s="95"/>
      <c r="T223" s="95"/>
      <c r="U223" s="95"/>
      <c r="V223" s="95"/>
      <c r="W223" s="95"/>
      <c r="X223" s="95"/>
      <c r="Y223" s="95"/>
      <c r="Z223" s="95"/>
      <c r="AA223" s="95"/>
      <c r="AB223" s="95"/>
      <c r="AC223" s="95"/>
      <c r="AD223" s="95"/>
      <c r="AE223" s="95"/>
      <c r="AF223" s="95"/>
      <c r="AG223" s="95"/>
      <c r="AH223" s="95"/>
      <c r="AI223" s="95"/>
      <c r="AJ223" s="95"/>
      <c r="AK223" s="95"/>
      <c r="AL223" s="95"/>
      <c r="AM223" s="95"/>
      <c r="AN223" s="95"/>
      <c r="AO223" s="95"/>
      <c r="AP223" s="95"/>
      <c r="AQ223" s="95"/>
      <c r="AR223" s="95"/>
      <c r="AS223" s="95"/>
      <c r="AT223" s="95"/>
      <c r="AU223" s="95"/>
      <c r="AV223" s="95"/>
      <c r="AW223" s="95"/>
      <c r="AX223" s="95"/>
      <c r="AY223" s="95"/>
      <c r="AZ223" s="95"/>
      <c r="BA223" s="95"/>
      <c r="BB223" s="95"/>
      <c r="BC223" s="95"/>
      <c r="BD223" s="95"/>
      <c r="BE223" s="95"/>
      <c r="BF223" s="95"/>
      <c r="BG223" s="95"/>
      <c r="BH223" s="95"/>
      <c r="BI223" s="95"/>
      <c r="BJ223" s="95"/>
      <c r="BK223" s="95"/>
      <c r="BL223" s="95"/>
      <c r="BM223" s="95"/>
    </row>
    <row r="224" spans="1:65" s="187" customFormat="1" ht="14.5">
      <c r="A224" s="130"/>
      <c r="B224" s="191" t="s">
        <v>132</v>
      </c>
      <c r="C224" s="128" t="s">
        <v>348</v>
      </c>
      <c r="D224" s="131">
        <v>15</v>
      </c>
      <c r="E224" s="186"/>
      <c r="F224" s="186">
        <f t="shared" si="7"/>
        <v>0</v>
      </c>
      <c r="G224" s="126"/>
      <c r="H224" s="95"/>
      <c r="I224" s="95"/>
      <c r="J224" s="95"/>
      <c r="K224" s="95"/>
      <c r="L224" s="95"/>
      <c r="M224" s="95"/>
      <c r="N224" s="95"/>
      <c r="O224" s="95"/>
      <c r="P224" s="95"/>
      <c r="Q224" s="95"/>
      <c r="R224" s="95"/>
      <c r="S224" s="95"/>
      <c r="T224" s="95"/>
      <c r="U224" s="95"/>
      <c r="V224" s="95"/>
      <c r="W224" s="95"/>
      <c r="X224" s="95"/>
      <c r="Y224" s="95"/>
      <c r="Z224" s="95"/>
      <c r="AA224" s="95"/>
      <c r="AB224" s="95"/>
      <c r="AC224" s="95"/>
      <c r="AD224" s="95"/>
      <c r="AE224" s="95"/>
      <c r="AF224" s="95"/>
      <c r="AG224" s="95"/>
      <c r="AH224" s="95"/>
      <c r="AI224" s="95"/>
      <c r="AJ224" s="95"/>
      <c r="AK224" s="95"/>
      <c r="AL224" s="95"/>
      <c r="AM224" s="95"/>
      <c r="AN224" s="95"/>
      <c r="AO224" s="95"/>
      <c r="AP224" s="95"/>
      <c r="AQ224" s="95"/>
      <c r="AR224" s="95"/>
      <c r="AS224" s="95"/>
      <c r="AT224" s="95"/>
      <c r="AU224" s="95"/>
      <c r="AV224" s="95"/>
      <c r="AW224" s="95"/>
      <c r="AX224" s="95"/>
      <c r="AY224" s="95"/>
      <c r="AZ224" s="95"/>
      <c r="BA224" s="95"/>
      <c r="BB224" s="95"/>
      <c r="BC224" s="95"/>
      <c r="BD224" s="95"/>
      <c r="BE224" s="95"/>
      <c r="BF224" s="95"/>
      <c r="BG224" s="95"/>
      <c r="BH224" s="95"/>
      <c r="BI224" s="95"/>
      <c r="BJ224" s="95"/>
      <c r="BK224" s="95"/>
      <c r="BL224" s="95"/>
      <c r="BM224" s="95"/>
    </row>
    <row r="225" spans="1:65" s="187" customFormat="1" ht="14.5">
      <c r="A225" s="130"/>
      <c r="B225" s="191" t="s">
        <v>133</v>
      </c>
      <c r="C225" s="128" t="s">
        <v>348</v>
      </c>
      <c r="D225" s="131">
        <f>(2*3*2.5)+(2*5*2.5)</f>
        <v>40</v>
      </c>
      <c r="E225" s="186"/>
      <c r="F225" s="186">
        <f t="shared" si="7"/>
        <v>0</v>
      </c>
      <c r="G225" s="126"/>
      <c r="H225" s="95"/>
      <c r="I225" s="95"/>
      <c r="J225" s="95"/>
      <c r="K225" s="95"/>
      <c r="L225" s="95"/>
      <c r="M225" s="95"/>
      <c r="N225" s="95"/>
      <c r="O225" s="95"/>
      <c r="P225" s="95"/>
      <c r="Q225" s="95"/>
      <c r="R225" s="95"/>
      <c r="S225" s="95"/>
      <c r="T225" s="95"/>
      <c r="U225" s="95"/>
      <c r="V225" s="95"/>
      <c r="W225" s="95"/>
      <c r="X225" s="95"/>
      <c r="Y225" s="95"/>
      <c r="Z225" s="95"/>
      <c r="AA225" s="95"/>
      <c r="AB225" s="95"/>
      <c r="AC225" s="95"/>
      <c r="AD225" s="95"/>
      <c r="AE225" s="95"/>
      <c r="AF225" s="95"/>
      <c r="AG225" s="95"/>
      <c r="AH225" s="95"/>
      <c r="AI225" s="95"/>
      <c r="AJ225" s="95"/>
      <c r="AK225" s="95"/>
      <c r="AL225" s="95"/>
      <c r="AM225" s="95"/>
      <c r="AN225" s="95"/>
      <c r="AO225" s="95"/>
      <c r="AP225" s="95"/>
      <c r="AQ225" s="95"/>
      <c r="AR225" s="95"/>
      <c r="AS225" s="95"/>
      <c r="AT225" s="95"/>
      <c r="AU225" s="95"/>
      <c r="AV225" s="95"/>
      <c r="AW225" s="95"/>
      <c r="AX225" s="95"/>
      <c r="AY225" s="95"/>
      <c r="AZ225" s="95"/>
      <c r="BA225" s="95"/>
      <c r="BB225" s="95"/>
      <c r="BC225" s="95"/>
      <c r="BD225" s="95"/>
      <c r="BE225" s="95"/>
      <c r="BF225" s="95"/>
      <c r="BG225" s="95"/>
      <c r="BH225" s="95"/>
      <c r="BI225" s="95"/>
      <c r="BJ225" s="95"/>
      <c r="BK225" s="95"/>
      <c r="BL225" s="95"/>
      <c r="BM225" s="95"/>
    </row>
    <row r="226" spans="1:65" s="187" customFormat="1">
      <c r="A226" s="130"/>
      <c r="B226" s="191" t="s">
        <v>134</v>
      </c>
      <c r="C226" s="128" t="s">
        <v>54</v>
      </c>
      <c r="D226" s="131">
        <v>6</v>
      </c>
      <c r="E226" s="186"/>
      <c r="F226" s="186">
        <f t="shared" si="7"/>
        <v>0</v>
      </c>
      <c r="G226" s="126"/>
      <c r="H226" s="95"/>
      <c r="I226" s="95"/>
      <c r="J226" s="95"/>
      <c r="K226" s="95"/>
      <c r="L226" s="95"/>
      <c r="M226" s="95"/>
      <c r="N226" s="95"/>
      <c r="O226" s="95"/>
      <c r="P226" s="95"/>
      <c r="Q226" s="95"/>
      <c r="R226" s="95"/>
      <c r="S226" s="95"/>
      <c r="T226" s="95"/>
      <c r="U226" s="95"/>
      <c r="V226" s="95"/>
      <c r="W226" s="95"/>
      <c r="X226" s="95"/>
      <c r="Y226" s="95"/>
      <c r="Z226" s="95"/>
      <c r="AA226" s="95"/>
      <c r="AB226" s="95"/>
      <c r="AC226" s="95"/>
      <c r="AD226" s="95"/>
      <c r="AE226" s="95"/>
      <c r="AF226" s="95"/>
      <c r="AG226" s="95"/>
      <c r="AH226" s="95"/>
      <c r="AI226" s="95"/>
      <c r="AJ226" s="95"/>
      <c r="AK226" s="95"/>
      <c r="AL226" s="95"/>
      <c r="AM226" s="95"/>
      <c r="AN226" s="95"/>
      <c r="AO226" s="95"/>
      <c r="AP226" s="95"/>
      <c r="AQ226" s="95"/>
      <c r="AR226" s="95"/>
      <c r="AS226" s="95"/>
      <c r="AT226" s="95"/>
      <c r="AU226" s="95"/>
      <c r="AV226" s="95"/>
      <c r="AW226" s="95"/>
      <c r="AX226" s="95"/>
      <c r="AY226" s="95"/>
      <c r="AZ226" s="95"/>
      <c r="BA226" s="95"/>
      <c r="BB226" s="95"/>
      <c r="BC226" s="95"/>
      <c r="BD226" s="95"/>
      <c r="BE226" s="95"/>
      <c r="BF226" s="95"/>
      <c r="BG226" s="95"/>
      <c r="BH226" s="95"/>
      <c r="BI226" s="95"/>
      <c r="BJ226" s="95"/>
      <c r="BK226" s="95"/>
      <c r="BL226" s="95"/>
      <c r="BM226" s="95"/>
    </row>
    <row r="227" spans="1:65" s="187" customFormat="1" ht="14.5">
      <c r="A227" s="130"/>
      <c r="B227" s="191" t="s">
        <v>135</v>
      </c>
      <c r="C227" s="128" t="s">
        <v>348</v>
      </c>
      <c r="D227" s="131">
        <v>80</v>
      </c>
      <c r="E227" s="186"/>
      <c r="F227" s="186">
        <f t="shared" si="7"/>
        <v>0</v>
      </c>
      <c r="G227" s="126"/>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c r="AW227" s="95"/>
      <c r="AX227" s="95"/>
      <c r="AY227" s="95"/>
      <c r="AZ227" s="95"/>
      <c r="BA227" s="95"/>
      <c r="BB227" s="95"/>
      <c r="BC227" s="95"/>
      <c r="BD227" s="95"/>
      <c r="BE227" s="95"/>
      <c r="BF227" s="95"/>
      <c r="BG227" s="95"/>
      <c r="BH227" s="95"/>
      <c r="BI227" s="95"/>
      <c r="BJ227" s="95"/>
      <c r="BK227" s="95"/>
      <c r="BL227" s="95"/>
      <c r="BM227" s="95"/>
    </row>
    <row r="228" spans="1:65" s="190" customFormat="1" ht="13">
      <c r="A228" s="188"/>
      <c r="B228" s="192"/>
      <c r="C228" s="98"/>
      <c r="D228" s="114"/>
      <c r="E228" s="189"/>
      <c r="F228" s="186">
        <f t="shared" si="7"/>
        <v>0</v>
      </c>
      <c r="G228" s="153"/>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c r="AG228" s="88"/>
      <c r="AH228" s="88"/>
      <c r="AI228" s="88"/>
      <c r="AJ228" s="88"/>
      <c r="AK228" s="88"/>
      <c r="AL228" s="88"/>
      <c r="AM228" s="88"/>
      <c r="AN228" s="88"/>
      <c r="AO228" s="88"/>
      <c r="AP228" s="88"/>
      <c r="AQ228" s="88"/>
      <c r="AR228" s="88"/>
      <c r="AS228" s="88"/>
      <c r="AT228" s="88"/>
      <c r="AU228" s="88"/>
      <c r="AV228" s="88"/>
      <c r="AW228" s="88"/>
      <c r="AX228" s="88"/>
      <c r="AY228" s="88"/>
      <c r="AZ228" s="88"/>
      <c r="BA228" s="88"/>
      <c r="BB228" s="88"/>
      <c r="BC228" s="88"/>
      <c r="BD228" s="88"/>
      <c r="BE228" s="88"/>
      <c r="BF228" s="88"/>
      <c r="BG228" s="88"/>
      <c r="BH228" s="88"/>
      <c r="BI228" s="88"/>
      <c r="BJ228" s="88"/>
      <c r="BK228" s="88"/>
      <c r="BL228" s="88"/>
      <c r="BM228" s="88"/>
    </row>
    <row r="229" spans="1:65" s="187" customFormat="1">
      <c r="A229" s="130"/>
      <c r="B229" s="191"/>
      <c r="C229" s="130"/>
      <c r="D229" s="131"/>
      <c r="E229" s="186"/>
      <c r="F229" s="186">
        <f t="shared" si="7"/>
        <v>0</v>
      </c>
      <c r="G229" s="126"/>
      <c r="H229" s="95"/>
      <c r="I229" s="95"/>
      <c r="J229" s="95"/>
      <c r="K229" s="95"/>
      <c r="L229" s="95"/>
      <c r="M229" s="95"/>
      <c r="N229" s="95"/>
      <c r="O229" s="95"/>
      <c r="P229" s="95"/>
      <c r="Q229" s="95"/>
      <c r="R229" s="95"/>
      <c r="S229" s="95"/>
      <c r="T229" s="95"/>
      <c r="U229" s="95"/>
      <c r="V229" s="95"/>
      <c r="W229" s="95"/>
      <c r="X229" s="95"/>
      <c r="Y229" s="95"/>
      <c r="Z229" s="95"/>
      <c r="AA229" s="95"/>
      <c r="AB229" s="95"/>
      <c r="AC229" s="95"/>
      <c r="AD229" s="95"/>
      <c r="AE229" s="95"/>
      <c r="AF229" s="95"/>
      <c r="AG229" s="95"/>
      <c r="AH229" s="95"/>
      <c r="AI229" s="95"/>
      <c r="AJ229" s="95"/>
      <c r="AK229" s="95"/>
      <c r="AL229" s="95"/>
      <c r="AM229" s="95"/>
      <c r="AN229" s="95"/>
      <c r="AO229" s="95"/>
      <c r="AP229" s="95"/>
      <c r="AQ229" s="95"/>
      <c r="AR229" s="95"/>
      <c r="AS229" s="95"/>
      <c r="AT229" s="95"/>
      <c r="AU229" s="95"/>
      <c r="AV229" s="95"/>
      <c r="AW229" s="95"/>
      <c r="AX229" s="95"/>
      <c r="AY229" s="95"/>
      <c r="AZ229" s="95"/>
      <c r="BA229" s="95"/>
      <c r="BB229" s="95"/>
      <c r="BC229" s="95"/>
      <c r="BD229" s="95"/>
      <c r="BE229" s="95"/>
      <c r="BF229" s="95"/>
      <c r="BG229" s="95"/>
      <c r="BH229" s="95"/>
      <c r="BI229" s="95"/>
      <c r="BJ229" s="95"/>
      <c r="BK229" s="95"/>
      <c r="BL229" s="95"/>
      <c r="BM229" s="95"/>
    </row>
    <row r="230" spans="1:65" s="187" customFormat="1" ht="13">
      <c r="A230" s="130"/>
      <c r="B230" s="251" t="s">
        <v>136</v>
      </c>
      <c r="C230" s="130"/>
      <c r="D230" s="131"/>
      <c r="E230" s="186"/>
      <c r="F230" s="186">
        <f t="shared" si="7"/>
        <v>0</v>
      </c>
      <c r="G230" s="126"/>
      <c r="H230" s="95"/>
      <c r="I230" s="95"/>
      <c r="J230" s="95"/>
      <c r="K230" s="95"/>
      <c r="L230" s="95"/>
      <c r="M230" s="95"/>
      <c r="N230" s="95"/>
      <c r="O230" s="95"/>
      <c r="P230" s="95"/>
      <c r="Q230" s="95"/>
      <c r="R230" s="95"/>
      <c r="S230" s="95"/>
      <c r="T230" s="95"/>
      <c r="U230" s="95"/>
      <c r="V230" s="95"/>
      <c r="W230" s="95"/>
      <c r="X230" s="95"/>
      <c r="Y230" s="95"/>
      <c r="Z230" s="95"/>
      <c r="AA230" s="95"/>
      <c r="AB230" s="95"/>
      <c r="AC230" s="95"/>
      <c r="AD230" s="95"/>
      <c r="AE230" s="95"/>
      <c r="AF230" s="95"/>
      <c r="AG230" s="95"/>
      <c r="AH230" s="95"/>
      <c r="AI230" s="95"/>
      <c r="AJ230" s="95"/>
      <c r="AK230" s="95"/>
      <c r="AL230" s="95"/>
      <c r="AM230" s="95"/>
      <c r="AN230" s="95"/>
      <c r="AO230" s="95"/>
      <c r="AP230" s="95"/>
      <c r="AQ230" s="95"/>
      <c r="AR230" s="95"/>
      <c r="AS230" s="95"/>
      <c r="AT230" s="95"/>
      <c r="AU230" s="95"/>
      <c r="AV230" s="95"/>
      <c r="AW230" s="95"/>
      <c r="AX230" s="95"/>
      <c r="AY230" s="95"/>
      <c r="AZ230" s="95"/>
      <c r="BA230" s="95"/>
      <c r="BB230" s="95"/>
      <c r="BC230" s="95"/>
      <c r="BD230" s="95"/>
      <c r="BE230" s="95"/>
      <c r="BF230" s="95"/>
      <c r="BG230" s="95"/>
      <c r="BH230" s="95"/>
      <c r="BI230" s="95"/>
      <c r="BJ230" s="95"/>
      <c r="BK230" s="95"/>
      <c r="BL230" s="95"/>
      <c r="BM230" s="95"/>
    </row>
    <row r="231" spans="1:65" s="187" customFormat="1" ht="13">
      <c r="A231" s="130"/>
      <c r="B231" s="192" t="s">
        <v>137</v>
      </c>
      <c r="C231" s="130"/>
      <c r="D231" s="131"/>
      <c r="E231" s="186"/>
      <c r="F231" s="186">
        <f t="shared" si="7"/>
        <v>0</v>
      </c>
      <c r="G231" s="126"/>
      <c r="H231" s="95"/>
      <c r="I231" s="95"/>
      <c r="J231" s="95"/>
      <c r="K231" s="95"/>
      <c r="L231" s="95"/>
      <c r="M231" s="95"/>
      <c r="N231" s="95"/>
      <c r="O231" s="95"/>
      <c r="P231" s="95"/>
      <c r="Q231" s="95"/>
      <c r="R231" s="95"/>
      <c r="S231" s="95"/>
      <c r="T231" s="95"/>
      <c r="U231" s="95"/>
      <c r="V231" s="95"/>
      <c r="W231" s="95"/>
      <c r="X231" s="95"/>
      <c r="Y231" s="95"/>
      <c r="Z231" s="95"/>
      <c r="AA231" s="95"/>
      <c r="AB231" s="95"/>
      <c r="AC231" s="95"/>
      <c r="AD231" s="95"/>
      <c r="AE231" s="95"/>
      <c r="AF231" s="95"/>
      <c r="AG231" s="95"/>
      <c r="AH231" s="95"/>
      <c r="AI231" s="95"/>
      <c r="AJ231" s="95"/>
      <c r="AK231" s="95"/>
      <c r="AL231" s="95"/>
      <c r="AM231" s="95"/>
      <c r="AN231" s="95"/>
      <c r="AO231" s="95"/>
      <c r="AP231" s="95"/>
      <c r="AQ231" s="95"/>
      <c r="AR231" s="95"/>
      <c r="AS231" s="95"/>
      <c r="AT231" s="95"/>
      <c r="AU231" s="95"/>
      <c r="AV231" s="95"/>
      <c r="AW231" s="95"/>
      <c r="AX231" s="95"/>
      <c r="AY231" s="95"/>
      <c r="AZ231" s="95"/>
      <c r="BA231" s="95"/>
      <c r="BB231" s="95"/>
      <c r="BC231" s="95"/>
      <c r="BD231" s="95"/>
      <c r="BE231" s="95"/>
      <c r="BF231" s="95"/>
      <c r="BG231" s="95"/>
      <c r="BH231" s="95"/>
      <c r="BI231" s="95"/>
      <c r="BJ231" s="95"/>
      <c r="BK231" s="95"/>
      <c r="BL231" s="95"/>
      <c r="BM231" s="95"/>
    </row>
    <row r="232" spans="1:65" s="187" customFormat="1">
      <c r="A232" s="130"/>
      <c r="B232" s="191" t="s">
        <v>138</v>
      </c>
      <c r="C232" s="130" t="s">
        <v>139</v>
      </c>
      <c r="D232" s="131">
        <v>1</v>
      </c>
      <c r="E232" s="186"/>
      <c r="F232" s="186">
        <f t="shared" si="7"/>
        <v>0</v>
      </c>
      <c r="G232" s="126"/>
      <c r="H232" s="95"/>
      <c r="I232" s="95"/>
      <c r="J232" s="95"/>
      <c r="K232" s="95"/>
      <c r="L232" s="95"/>
      <c r="M232" s="95"/>
      <c r="N232" s="95"/>
      <c r="O232" s="95"/>
      <c r="P232" s="95"/>
      <c r="Q232" s="95"/>
      <c r="R232" s="95"/>
      <c r="S232" s="95"/>
      <c r="T232" s="95"/>
      <c r="U232" s="95"/>
      <c r="V232" s="95"/>
      <c r="W232" s="95"/>
      <c r="X232" s="95"/>
      <c r="Y232" s="95"/>
      <c r="Z232" s="95"/>
      <c r="AA232" s="95"/>
      <c r="AB232" s="95"/>
      <c r="AC232" s="95"/>
      <c r="AD232" s="95"/>
      <c r="AE232" s="95"/>
      <c r="AF232" s="95"/>
      <c r="AG232" s="95"/>
      <c r="AH232" s="95"/>
      <c r="AI232" s="95"/>
      <c r="AJ232" s="95"/>
      <c r="AK232" s="95"/>
      <c r="AL232" s="95"/>
      <c r="AM232" s="95"/>
      <c r="AN232" s="95"/>
      <c r="AO232" s="95"/>
      <c r="AP232" s="95"/>
      <c r="AQ232" s="95"/>
      <c r="AR232" s="95"/>
      <c r="AS232" s="95"/>
      <c r="AT232" s="95"/>
      <c r="AU232" s="95"/>
      <c r="AV232" s="95"/>
      <c r="AW232" s="95"/>
      <c r="AX232" s="95"/>
      <c r="AY232" s="95"/>
      <c r="AZ232" s="95"/>
      <c r="BA232" s="95"/>
      <c r="BB232" s="95"/>
      <c r="BC232" s="95"/>
      <c r="BD232" s="95"/>
      <c r="BE232" s="95"/>
      <c r="BF232" s="95"/>
      <c r="BG232" s="95"/>
      <c r="BH232" s="95"/>
      <c r="BI232" s="95"/>
      <c r="BJ232" s="95"/>
      <c r="BK232" s="95"/>
      <c r="BL232" s="95"/>
      <c r="BM232" s="95"/>
    </row>
    <row r="233" spans="1:65" s="187" customFormat="1">
      <c r="A233" s="130"/>
      <c r="B233" s="191" t="s">
        <v>140</v>
      </c>
      <c r="C233" s="130" t="s">
        <v>141</v>
      </c>
      <c r="D233" s="131">
        <v>1</v>
      </c>
      <c r="E233" s="186"/>
      <c r="F233" s="186">
        <f t="shared" si="7"/>
        <v>0</v>
      </c>
      <c r="G233" s="126"/>
      <c r="H233" s="95"/>
      <c r="I233" s="95"/>
      <c r="J233" s="95"/>
      <c r="K233" s="95"/>
      <c r="L233" s="95"/>
      <c r="M233" s="95"/>
      <c r="N233" s="95"/>
      <c r="O233" s="95"/>
      <c r="P233" s="95"/>
      <c r="Q233" s="95"/>
      <c r="R233" s="95"/>
      <c r="S233" s="95"/>
      <c r="T233" s="95"/>
      <c r="U233" s="95"/>
      <c r="V233" s="95"/>
      <c r="W233" s="95"/>
      <c r="X233" s="95"/>
      <c r="Y233" s="95"/>
      <c r="Z233" s="95"/>
      <c r="AA233" s="95"/>
      <c r="AB233" s="95"/>
      <c r="AC233" s="95"/>
      <c r="AD233" s="95"/>
      <c r="AE233" s="95"/>
      <c r="AF233" s="95"/>
      <c r="AG233" s="95"/>
      <c r="AH233" s="95"/>
      <c r="AI233" s="95"/>
      <c r="AJ233" s="95"/>
      <c r="AK233" s="95"/>
      <c r="AL233" s="95"/>
      <c r="AM233" s="95"/>
      <c r="AN233" s="95"/>
      <c r="AO233" s="95"/>
      <c r="AP233" s="95"/>
      <c r="AQ233" s="95"/>
      <c r="AR233" s="95"/>
      <c r="AS233" s="95"/>
      <c r="AT233" s="95"/>
      <c r="AU233" s="95"/>
      <c r="AV233" s="95"/>
      <c r="AW233" s="95"/>
      <c r="AX233" s="95"/>
      <c r="AY233" s="95"/>
      <c r="AZ233" s="95"/>
      <c r="BA233" s="95"/>
      <c r="BB233" s="95"/>
      <c r="BC233" s="95"/>
      <c r="BD233" s="95"/>
      <c r="BE233" s="95"/>
      <c r="BF233" s="95"/>
      <c r="BG233" s="95"/>
      <c r="BH233" s="95"/>
      <c r="BI233" s="95"/>
      <c r="BJ233" s="95"/>
      <c r="BK233" s="95"/>
      <c r="BL233" s="95"/>
      <c r="BM233" s="95"/>
    </row>
    <row r="234" spans="1:65" s="187" customFormat="1" ht="14.5">
      <c r="A234" s="130"/>
      <c r="B234" s="191" t="s">
        <v>142</v>
      </c>
      <c r="C234" s="128" t="s">
        <v>348</v>
      </c>
      <c r="D234" s="131">
        <v>4.08</v>
      </c>
      <c r="E234" s="186"/>
      <c r="F234" s="186">
        <f t="shared" si="7"/>
        <v>0</v>
      </c>
      <c r="G234" s="126"/>
      <c r="H234" s="95"/>
      <c r="I234" s="95"/>
      <c r="J234" s="95"/>
      <c r="K234" s="95"/>
      <c r="L234" s="95"/>
      <c r="M234" s="95"/>
      <c r="N234" s="95"/>
      <c r="O234" s="95"/>
      <c r="P234" s="95"/>
      <c r="Q234" s="95"/>
      <c r="R234" s="95"/>
      <c r="S234" s="95"/>
      <c r="T234" s="95"/>
      <c r="U234" s="95"/>
      <c r="V234" s="95"/>
      <c r="W234" s="95"/>
      <c r="X234" s="95"/>
      <c r="Y234" s="95"/>
      <c r="Z234" s="95"/>
      <c r="AA234" s="95"/>
      <c r="AB234" s="95"/>
      <c r="AC234" s="95"/>
      <c r="AD234" s="95"/>
      <c r="AE234" s="95"/>
      <c r="AF234" s="95"/>
      <c r="AG234" s="95"/>
      <c r="AH234" s="95"/>
      <c r="AI234" s="95"/>
      <c r="AJ234" s="95"/>
      <c r="AK234" s="95"/>
      <c r="AL234" s="95"/>
      <c r="AM234" s="95"/>
      <c r="AN234" s="95"/>
      <c r="AO234" s="95"/>
      <c r="AP234" s="95"/>
      <c r="AQ234" s="95"/>
      <c r="AR234" s="95"/>
      <c r="AS234" s="95"/>
      <c r="AT234" s="95"/>
      <c r="AU234" s="95"/>
      <c r="AV234" s="95"/>
      <c r="AW234" s="95"/>
      <c r="AX234" s="95"/>
      <c r="AY234" s="95"/>
      <c r="AZ234" s="95"/>
      <c r="BA234" s="95"/>
      <c r="BB234" s="95"/>
      <c r="BC234" s="95"/>
      <c r="BD234" s="95"/>
      <c r="BE234" s="95"/>
      <c r="BF234" s="95"/>
      <c r="BG234" s="95"/>
      <c r="BH234" s="95"/>
      <c r="BI234" s="95"/>
      <c r="BJ234" s="95"/>
      <c r="BK234" s="95"/>
      <c r="BL234" s="95"/>
      <c r="BM234" s="95"/>
    </row>
    <row r="235" spans="1:65" s="187" customFormat="1" ht="25">
      <c r="A235" s="130"/>
      <c r="B235" s="252" t="s">
        <v>143</v>
      </c>
      <c r="C235" s="128" t="s">
        <v>220</v>
      </c>
      <c r="D235" s="131">
        <f>13*8*2.5</f>
        <v>260</v>
      </c>
      <c r="E235" s="186"/>
      <c r="F235" s="186">
        <f t="shared" si="7"/>
        <v>0</v>
      </c>
      <c r="G235" s="126"/>
      <c r="H235" s="95"/>
      <c r="I235" s="95"/>
      <c r="J235" s="95"/>
      <c r="K235" s="95"/>
      <c r="L235" s="95"/>
      <c r="M235" s="95"/>
      <c r="N235" s="95"/>
      <c r="O235" s="95"/>
      <c r="P235" s="95"/>
      <c r="Q235" s="95"/>
      <c r="R235" s="95"/>
      <c r="S235" s="95"/>
      <c r="T235" s="95"/>
      <c r="U235" s="95"/>
      <c r="V235" s="95"/>
      <c r="W235" s="95"/>
      <c r="X235" s="95"/>
      <c r="Y235" s="95"/>
      <c r="Z235" s="95"/>
      <c r="AA235" s="95"/>
      <c r="AB235" s="95"/>
      <c r="AC235" s="95"/>
      <c r="AD235" s="95"/>
      <c r="AE235" s="95"/>
      <c r="AF235" s="95"/>
      <c r="AG235" s="95"/>
      <c r="AH235" s="95"/>
      <c r="AI235" s="95"/>
      <c r="AJ235" s="95"/>
      <c r="AK235" s="95"/>
      <c r="AL235" s="95"/>
      <c r="AM235" s="95"/>
      <c r="AN235" s="95"/>
      <c r="AO235" s="95"/>
      <c r="AP235" s="95"/>
      <c r="AQ235" s="95"/>
      <c r="AR235" s="95"/>
      <c r="AS235" s="95"/>
      <c r="AT235" s="95"/>
      <c r="AU235" s="95"/>
      <c r="AV235" s="95"/>
      <c r="AW235" s="95"/>
      <c r="AX235" s="95"/>
      <c r="AY235" s="95"/>
      <c r="AZ235" s="95"/>
      <c r="BA235" s="95"/>
      <c r="BB235" s="95"/>
      <c r="BC235" s="95"/>
      <c r="BD235" s="95"/>
      <c r="BE235" s="95"/>
      <c r="BF235" s="95"/>
      <c r="BG235" s="95"/>
      <c r="BH235" s="95"/>
      <c r="BI235" s="95"/>
      <c r="BJ235" s="95"/>
      <c r="BK235" s="95"/>
      <c r="BL235" s="95"/>
      <c r="BM235" s="95"/>
    </row>
    <row r="236" spans="1:65" s="187" customFormat="1" ht="14.5">
      <c r="A236" s="130"/>
      <c r="B236" s="252" t="s">
        <v>144</v>
      </c>
      <c r="C236" s="128" t="s">
        <v>348</v>
      </c>
      <c r="D236" s="131">
        <f>13*8</f>
        <v>104</v>
      </c>
      <c r="E236" s="186"/>
      <c r="F236" s="186">
        <f t="shared" si="7"/>
        <v>0</v>
      </c>
      <c r="G236" s="126"/>
      <c r="H236" s="95"/>
      <c r="I236" s="95"/>
      <c r="J236" s="95"/>
      <c r="K236" s="95"/>
      <c r="L236" s="95"/>
      <c r="M236" s="95"/>
      <c r="N236" s="95"/>
      <c r="O236" s="95"/>
      <c r="P236" s="95"/>
      <c r="Q236" s="95"/>
      <c r="R236" s="95"/>
      <c r="S236" s="95"/>
      <c r="T236" s="95"/>
      <c r="U236" s="95"/>
      <c r="V236" s="95"/>
      <c r="W236" s="95"/>
      <c r="X236" s="95"/>
      <c r="Y236" s="95"/>
      <c r="Z236" s="95"/>
      <c r="AA236" s="95"/>
      <c r="AB236" s="95"/>
      <c r="AC236" s="95"/>
      <c r="AD236" s="95"/>
      <c r="AE236" s="95"/>
      <c r="AF236" s="95"/>
      <c r="AG236" s="95"/>
      <c r="AH236" s="95"/>
      <c r="AI236" s="95"/>
      <c r="AJ236" s="95"/>
      <c r="AK236" s="95"/>
      <c r="AL236" s="95"/>
      <c r="AM236" s="95"/>
      <c r="AN236" s="95"/>
      <c r="AO236" s="95"/>
      <c r="AP236" s="95"/>
      <c r="AQ236" s="95"/>
      <c r="AR236" s="95"/>
      <c r="AS236" s="95"/>
      <c r="AT236" s="95"/>
      <c r="AU236" s="95"/>
      <c r="AV236" s="95"/>
      <c r="AW236" s="95"/>
      <c r="AX236" s="95"/>
      <c r="AY236" s="95"/>
      <c r="AZ236" s="95"/>
      <c r="BA236" s="95"/>
      <c r="BB236" s="95"/>
      <c r="BC236" s="95"/>
      <c r="BD236" s="95"/>
      <c r="BE236" s="95"/>
      <c r="BF236" s="95"/>
      <c r="BG236" s="95"/>
      <c r="BH236" s="95"/>
      <c r="BI236" s="95"/>
      <c r="BJ236" s="95"/>
      <c r="BK236" s="95"/>
      <c r="BL236" s="95"/>
      <c r="BM236" s="95"/>
    </row>
    <row r="237" spans="1:65" s="187" customFormat="1">
      <c r="A237" s="130"/>
      <c r="B237" s="191" t="s">
        <v>145</v>
      </c>
      <c r="C237" s="130" t="s">
        <v>141</v>
      </c>
      <c r="D237" s="131">
        <v>3</v>
      </c>
      <c r="E237" s="186"/>
      <c r="F237" s="186">
        <f t="shared" si="7"/>
        <v>0</v>
      </c>
      <c r="G237" s="126"/>
      <c r="H237" s="95"/>
      <c r="I237" s="95"/>
      <c r="J237" s="95"/>
      <c r="K237" s="95"/>
      <c r="L237" s="95"/>
      <c r="M237" s="95"/>
      <c r="N237" s="95"/>
      <c r="O237" s="95"/>
      <c r="P237" s="95"/>
      <c r="Q237" s="95"/>
      <c r="R237" s="95"/>
      <c r="S237" s="95"/>
      <c r="T237" s="95"/>
      <c r="U237" s="95"/>
      <c r="V237" s="95"/>
      <c r="W237" s="95"/>
      <c r="X237" s="95"/>
      <c r="Y237" s="95"/>
      <c r="Z237" s="95"/>
      <c r="AA237" s="95"/>
      <c r="AB237" s="95"/>
      <c r="AC237" s="95"/>
      <c r="AD237" s="95"/>
      <c r="AE237" s="95"/>
      <c r="AF237" s="95"/>
      <c r="AG237" s="95"/>
      <c r="AH237" s="95"/>
      <c r="AI237" s="95"/>
      <c r="AJ237" s="95"/>
      <c r="AK237" s="95"/>
      <c r="AL237" s="95"/>
      <c r="AM237" s="95"/>
      <c r="AN237" s="95"/>
      <c r="AO237" s="95"/>
      <c r="AP237" s="95"/>
      <c r="AQ237" s="95"/>
      <c r="AR237" s="95"/>
      <c r="AS237" s="95"/>
      <c r="AT237" s="95"/>
      <c r="AU237" s="95"/>
      <c r="AV237" s="95"/>
      <c r="AW237" s="95"/>
      <c r="AX237" s="95"/>
      <c r="AY237" s="95"/>
      <c r="AZ237" s="95"/>
      <c r="BA237" s="95"/>
      <c r="BB237" s="95"/>
      <c r="BC237" s="95"/>
      <c r="BD237" s="95"/>
      <c r="BE237" s="95"/>
      <c r="BF237" s="95"/>
      <c r="BG237" s="95"/>
      <c r="BH237" s="95"/>
      <c r="BI237" s="95"/>
      <c r="BJ237" s="95"/>
      <c r="BK237" s="95"/>
      <c r="BL237" s="95"/>
      <c r="BM237" s="95"/>
    </row>
    <row r="238" spans="1:65" s="187" customFormat="1" ht="25">
      <c r="A238" s="130"/>
      <c r="B238" s="252" t="s">
        <v>146</v>
      </c>
      <c r="C238" s="128" t="s">
        <v>348</v>
      </c>
      <c r="D238" s="131">
        <f>3*3</f>
        <v>9</v>
      </c>
      <c r="E238" s="186"/>
      <c r="F238" s="186">
        <f t="shared" si="7"/>
        <v>0</v>
      </c>
      <c r="G238" s="126"/>
      <c r="H238" s="95"/>
      <c r="I238" s="95"/>
      <c r="J238" s="95"/>
      <c r="K238" s="95"/>
      <c r="L238" s="95"/>
      <c r="M238" s="95"/>
      <c r="N238" s="95"/>
      <c r="O238" s="95"/>
      <c r="P238" s="95"/>
      <c r="Q238" s="95"/>
      <c r="R238" s="95"/>
      <c r="S238" s="95"/>
      <c r="T238" s="95"/>
      <c r="U238" s="95"/>
      <c r="V238" s="95"/>
      <c r="W238" s="95"/>
      <c r="X238" s="95"/>
      <c r="Y238" s="95"/>
      <c r="Z238" s="95"/>
      <c r="AA238" s="95"/>
      <c r="AB238" s="95"/>
      <c r="AC238" s="95"/>
      <c r="AD238" s="95"/>
      <c r="AE238" s="95"/>
      <c r="AF238" s="95"/>
      <c r="AG238" s="95"/>
      <c r="AH238" s="95"/>
      <c r="AI238" s="95"/>
      <c r="AJ238" s="95"/>
      <c r="AK238" s="95"/>
      <c r="AL238" s="95"/>
      <c r="AM238" s="95"/>
      <c r="AN238" s="95"/>
      <c r="AO238" s="95"/>
      <c r="AP238" s="95"/>
      <c r="AQ238" s="95"/>
      <c r="AR238" s="95"/>
      <c r="AS238" s="95"/>
      <c r="AT238" s="95"/>
      <c r="AU238" s="95"/>
      <c r="AV238" s="95"/>
      <c r="AW238" s="95"/>
      <c r="AX238" s="95"/>
      <c r="AY238" s="95"/>
      <c r="AZ238" s="95"/>
      <c r="BA238" s="95"/>
      <c r="BB238" s="95"/>
      <c r="BC238" s="95"/>
      <c r="BD238" s="95"/>
      <c r="BE238" s="95"/>
      <c r="BF238" s="95"/>
      <c r="BG238" s="95"/>
      <c r="BH238" s="95"/>
      <c r="BI238" s="95"/>
      <c r="BJ238" s="95"/>
      <c r="BK238" s="95"/>
      <c r="BL238" s="95"/>
      <c r="BM238" s="95"/>
    </row>
    <row r="239" spans="1:65" s="187" customFormat="1" ht="14.5">
      <c r="A239" s="130"/>
      <c r="B239" s="252" t="s">
        <v>147</v>
      </c>
      <c r="C239" s="128" t="s">
        <v>348</v>
      </c>
      <c r="D239" s="131">
        <v>2</v>
      </c>
      <c r="E239" s="186"/>
      <c r="F239" s="186">
        <f t="shared" si="7"/>
        <v>0</v>
      </c>
      <c r="G239" s="126"/>
      <c r="H239" s="95"/>
      <c r="I239" s="95"/>
      <c r="J239" s="95"/>
      <c r="K239" s="95"/>
      <c r="L239" s="95"/>
      <c r="M239" s="95"/>
      <c r="N239" s="95"/>
      <c r="O239" s="95"/>
      <c r="P239" s="95"/>
      <c r="Q239" s="95"/>
      <c r="R239" s="95"/>
      <c r="S239" s="95"/>
      <c r="T239" s="95"/>
      <c r="U239" s="95"/>
      <c r="V239" s="95"/>
      <c r="W239" s="95"/>
      <c r="X239" s="95"/>
      <c r="Y239" s="95"/>
      <c r="Z239" s="95"/>
      <c r="AA239" s="95"/>
      <c r="AB239" s="95"/>
      <c r="AC239" s="95"/>
      <c r="AD239" s="95"/>
      <c r="AE239" s="95"/>
      <c r="AF239" s="95"/>
      <c r="AG239" s="95"/>
      <c r="AH239" s="95"/>
      <c r="AI239" s="95"/>
      <c r="AJ239" s="95"/>
      <c r="AK239" s="95"/>
      <c r="AL239" s="95"/>
      <c r="AM239" s="95"/>
      <c r="AN239" s="95"/>
      <c r="AO239" s="95"/>
      <c r="AP239" s="95"/>
      <c r="AQ239" s="95"/>
      <c r="AR239" s="95"/>
      <c r="AS239" s="95"/>
      <c r="AT239" s="95"/>
      <c r="AU239" s="95"/>
      <c r="AV239" s="95"/>
      <c r="AW239" s="95"/>
      <c r="AX239" s="95"/>
      <c r="AY239" s="95"/>
      <c r="AZ239" s="95"/>
      <c r="BA239" s="95"/>
      <c r="BB239" s="95"/>
      <c r="BC239" s="95"/>
      <c r="BD239" s="95"/>
      <c r="BE239" s="95"/>
      <c r="BF239" s="95"/>
      <c r="BG239" s="95"/>
      <c r="BH239" s="95"/>
      <c r="BI239" s="95"/>
      <c r="BJ239" s="95"/>
      <c r="BK239" s="95"/>
      <c r="BL239" s="95"/>
      <c r="BM239" s="95"/>
    </row>
    <row r="240" spans="1:65" s="187" customFormat="1">
      <c r="A240" s="130"/>
      <c r="B240" s="252"/>
      <c r="C240" s="128"/>
      <c r="D240" s="131"/>
      <c r="E240" s="186"/>
      <c r="F240" s="186"/>
      <c r="G240" s="126"/>
      <c r="H240" s="95"/>
      <c r="I240" s="95"/>
      <c r="J240" s="95"/>
      <c r="K240" s="95"/>
      <c r="L240" s="95"/>
      <c r="M240" s="95"/>
      <c r="N240" s="95"/>
      <c r="O240" s="95"/>
      <c r="P240" s="95"/>
      <c r="Q240" s="95"/>
      <c r="R240" s="95"/>
      <c r="S240" s="95"/>
      <c r="T240" s="95"/>
      <c r="U240" s="95"/>
      <c r="V240" s="95"/>
      <c r="W240" s="95"/>
      <c r="X240" s="95"/>
      <c r="Y240" s="95"/>
      <c r="Z240" s="95"/>
      <c r="AA240" s="95"/>
      <c r="AB240" s="95"/>
      <c r="AC240" s="95"/>
      <c r="AD240" s="95"/>
      <c r="AE240" s="95"/>
      <c r="AF240" s="95"/>
      <c r="AG240" s="95"/>
      <c r="AH240" s="95"/>
      <c r="AI240" s="95"/>
      <c r="AJ240" s="95"/>
      <c r="AK240" s="95"/>
      <c r="AL240" s="95"/>
      <c r="AM240" s="95"/>
      <c r="AN240" s="95"/>
      <c r="AO240" s="95"/>
      <c r="AP240" s="95"/>
      <c r="AQ240" s="95"/>
      <c r="AR240" s="95"/>
      <c r="AS240" s="95"/>
      <c r="AT240" s="95"/>
      <c r="AU240" s="95"/>
      <c r="AV240" s="95"/>
      <c r="AW240" s="95"/>
      <c r="AX240" s="95"/>
      <c r="AY240" s="95"/>
      <c r="AZ240" s="95"/>
      <c r="BA240" s="95"/>
      <c r="BB240" s="95"/>
      <c r="BC240" s="95"/>
      <c r="BD240" s="95"/>
      <c r="BE240" s="95"/>
      <c r="BF240" s="95"/>
      <c r="BG240" s="95"/>
      <c r="BH240" s="95"/>
      <c r="BI240" s="95"/>
      <c r="BJ240" s="95"/>
      <c r="BK240" s="95"/>
      <c r="BL240" s="95"/>
      <c r="BM240" s="95"/>
    </row>
    <row r="241" spans="1:65" s="187" customFormat="1" ht="13">
      <c r="A241" s="130"/>
      <c r="B241" s="192" t="s">
        <v>148</v>
      </c>
      <c r="C241" s="130"/>
      <c r="D241" s="131"/>
      <c r="E241" s="186"/>
      <c r="F241" s="186">
        <f t="shared" si="7"/>
        <v>0</v>
      </c>
      <c r="G241" s="126"/>
      <c r="H241" s="95"/>
      <c r="I241" s="95"/>
      <c r="J241" s="95"/>
      <c r="K241" s="95"/>
      <c r="L241" s="95"/>
      <c r="M241" s="95"/>
      <c r="N241" s="95"/>
      <c r="O241" s="95"/>
      <c r="P241" s="95"/>
      <c r="Q241" s="95"/>
      <c r="R241" s="95"/>
      <c r="S241" s="95"/>
      <c r="T241" s="95"/>
      <c r="U241" s="95"/>
      <c r="V241" s="95"/>
      <c r="W241" s="95"/>
      <c r="X241" s="95"/>
      <c r="Y241" s="95"/>
      <c r="Z241" s="95"/>
      <c r="AA241" s="95"/>
      <c r="AB241" s="95"/>
      <c r="AC241" s="95"/>
      <c r="AD241" s="95"/>
      <c r="AE241" s="95"/>
      <c r="AF241" s="95"/>
      <c r="AG241" s="95"/>
      <c r="AH241" s="95"/>
      <c r="AI241" s="95"/>
      <c r="AJ241" s="95"/>
      <c r="AK241" s="95"/>
      <c r="AL241" s="95"/>
      <c r="AM241" s="95"/>
      <c r="AN241" s="95"/>
      <c r="AO241" s="95"/>
      <c r="AP241" s="95"/>
      <c r="AQ241" s="95"/>
      <c r="AR241" s="95"/>
      <c r="AS241" s="95"/>
      <c r="AT241" s="95"/>
      <c r="AU241" s="95"/>
      <c r="AV241" s="95"/>
      <c r="AW241" s="95"/>
      <c r="AX241" s="95"/>
      <c r="AY241" s="95"/>
      <c r="AZ241" s="95"/>
      <c r="BA241" s="95"/>
      <c r="BB241" s="95"/>
      <c r="BC241" s="95"/>
      <c r="BD241" s="95"/>
      <c r="BE241" s="95"/>
      <c r="BF241" s="95"/>
      <c r="BG241" s="95"/>
      <c r="BH241" s="95"/>
      <c r="BI241" s="95"/>
      <c r="BJ241" s="95"/>
      <c r="BK241" s="95"/>
      <c r="BL241" s="95"/>
      <c r="BM241" s="95"/>
    </row>
    <row r="242" spans="1:65" s="187" customFormat="1" ht="25">
      <c r="A242" s="130"/>
      <c r="B242" s="252" t="s">
        <v>143</v>
      </c>
      <c r="C242" s="128" t="s">
        <v>149</v>
      </c>
      <c r="D242" s="131">
        <f>2*(4.5*4*0.5)</f>
        <v>18</v>
      </c>
      <c r="E242" s="186"/>
      <c r="F242" s="186">
        <f t="shared" si="7"/>
        <v>0</v>
      </c>
      <c r="G242" s="126"/>
      <c r="H242" s="95"/>
      <c r="I242" s="95"/>
      <c r="J242" s="95"/>
      <c r="K242" s="95"/>
      <c r="L242" s="95"/>
      <c r="M242" s="95"/>
      <c r="N242" s="95"/>
      <c r="O242" s="95"/>
      <c r="P242" s="95"/>
      <c r="Q242" s="95"/>
      <c r="R242" s="95"/>
      <c r="S242" s="95"/>
      <c r="T242" s="95"/>
      <c r="U242" s="95"/>
      <c r="V242" s="95"/>
      <c r="W242" s="95"/>
      <c r="X242" s="95"/>
      <c r="Y242" s="95"/>
      <c r="Z242" s="95"/>
      <c r="AA242" s="95"/>
      <c r="AB242" s="95"/>
      <c r="AC242" s="95"/>
      <c r="AD242" s="95"/>
      <c r="AE242" s="95"/>
      <c r="AF242" s="95"/>
      <c r="AG242" s="95"/>
      <c r="AH242" s="95"/>
      <c r="AI242" s="95"/>
      <c r="AJ242" s="95"/>
      <c r="AK242" s="95"/>
      <c r="AL242" s="95"/>
      <c r="AM242" s="95"/>
      <c r="AN242" s="95"/>
      <c r="AO242" s="95"/>
      <c r="AP242" s="95"/>
      <c r="AQ242" s="95"/>
      <c r="AR242" s="95"/>
      <c r="AS242" s="95"/>
      <c r="AT242" s="95"/>
      <c r="AU242" s="95"/>
      <c r="AV242" s="95"/>
      <c r="AW242" s="95"/>
      <c r="AX242" s="95"/>
      <c r="AY242" s="95"/>
      <c r="AZ242" s="95"/>
      <c r="BA242" s="95"/>
      <c r="BB242" s="95"/>
      <c r="BC242" s="95"/>
      <c r="BD242" s="95"/>
      <c r="BE242" s="95"/>
      <c r="BF242" s="95"/>
      <c r="BG242" s="95"/>
      <c r="BH242" s="95"/>
      <c r="BI242" s="95"/>
      <c r="BJ242" s="95"/>
      <c r="BK242" s="95"/>
      <c r="BL242" s="95"/>
      <c r="BM242" s="95"/>
    </row>
    <row r="243" spans="1:65" s="187" customFormat="1" ht="14.5">
      <c r="A243" s="130"/>
      <c r="B243" s="252" t="s">
        <v>144</v>
      </c>
      <c r="C243" s="128" t="s">
        <v>348</v>
      </c>
      <c r="D243" s="131">
        <f>2*(4.5*2)</f>
        <v>18</v>
      </c>
      <c r="E243" s="186"/>
      <c r="F243" s="186">
        <f t="shared" si="7"/>
        <v>0</v>
      </c>
      <c r="G243" s="126"/>
      <c r="H243" s="95"/>
      <c r="I243" s="95"/>
      <c r="J243" s="95"/>
      <c r="K243" s="95"/>
      <c r="L243" s="95"/>
      <c r="M243" s="95"/>
      <c r="N243" s="95"/>
      <c r="O243" s="95"/>
      <c r="P243" s="95"/>
      <c r="Q243" s="95"/>
      <c r="R243" s="95"/>
      <c r="S243" s="95"/>
      <c r="T243" s="95"/>
      <c r="U243" s="95"/>
      <c r="V243" s="95"/>
      <c r="W243" s="95"/>
      <c r="X243" s="95"/>
      <c r="Y243" s="95"/>
      <c r="Z243" s="95"/>
      <c r="AA243" s="95"/>
      <c r="AB243" s="95"/>
      <c r="AC243" s="95"/>
      <c r="AD243" s="95"/>
      <c r="AE243" s="95"/>
      <c r="AF243" s="95"/>
      <c r="AG243" s="95"/>
      <c r="AH243" s="95"/>
      <c r="AI243" s="95"/>
      <c r="AJ243" s="95"/>
      <c r="AK243" s="95"/>
      <c r="AL243" s="95"/>
      <c r="AM243" s="95"/>
      <c r="AN243" s="95"/>
      <c r="AO243" s="95"/>
      <c r="AP243" s="95"/>
      <c r="AQ243" s="95"/>
      <c r="AR243" s="95"/>
      <c r="AS243" s="95"/>
      <c r="AT243" s="95"/>
      <c r="AU243" s="95"/>
      <c r="AV243" s="95"/>
      <c r="AW243" s="95"/>
      <c r="AX243" s="95"/>
      <c r="AY243" s="95"/>
      <c r="AZ243" s="95"/>
      <c r="BA243" s="95"/>
      <c r="BB243" s="95"/>
      <c r="BC243" s="95"/>
      <c r="BD243" s="95"/>
      <c r="BE243" s="95"/>
      <c r="BF243" s="95"/>
      <c r="BG243" s="95"/>
      <c r="BH243" s="95"/>
      <c r="BI243" s="95"/>
      <c r="BJ243" s="95"/>
      <c r="BK243" s="95"/>
      <c r="BL243" s="95"/>
      <c r="BM243" s="95"/>
    </row>
    <row r="244" spans="1:65" s="187" customFormat="1">
      <c r="A244" s="130"/>
      <c r="B244" s="191" t="s">
        <v>150</v>
      </c>
      <c r="C244" s="128" t="s">
        <v>149</v>
      </c>
      <c r="D244" s="131">
        <f>2*((4.5*4*2)+(1.5*1.5*2))</f>
        <v>81</v>
      </c>
      <c r="E244" s="186"/>
      <c r="F244" s="186">
        <f t="shared" si="7"/>
        <v>0</v>
      </c>
      <c r="G244" s="126"/>
      <c r="H244" s="95"/>
      <c r="I244" s="95"/>
      <c r="J244" s="95"/>
      <c r="K244" s="95"/>
      <c r="L244" s="95"/>
      <c r="M244" s="95"/>
      <c r="N244" s="95"/>
      <c r="O244" s="95"/>
      <c r="P244" s="95"/>
      <c r="Q244" s="95"/>
      <c r="R244" s="95"/>
      <c r="S244" s="95"/>
      <c r="T244" s="95"/>
      <c r="U244" s="95"/>
      <c r="V244" s="95"/>
      <c r="W244" s="95"/>
      <c r="X244" s="95"/>
      <c r="Y244" s="95"/>
      <c r="Z244" s="95"/>
      <c r="AA244" s="95"/>
      <c r="AB244" s="95"/>
      <c r="AC244" s="95"/>
      <c r="AD244" s="95"/>
      <c r="AE244" s="95"/>
      <c r="AF244" s="95"/>
      <c r="AG244" s="95"/>
      <c r="AH244" s="95"/>
      <c r="AI244" s="95"/>
      <c r="AJ244" s="95"/>
      <c r="AK244" s="95"/>
      <c r="AL244" s="95"/>
      <c r="AM244" s="95"/>
      <c r="AN244" s="95"/>
      <c r="AO244" s="95"/>
      <c r="AP244" s="95"/>
      <c r="AQ244" s="95"/>
      <c r="AR244" s="95"/>
      <c r="AS244" s="95"/>
      <c r="AT244" s="95"/>
      <c r="AU244" s="95"/>
      <c r="AV244" s="95"/>
      <c r="AW244" s="95"/>
      <c r="AX244" s="95"/>
      <c r="AY244" s="95"/>
      <c r="AZ244" s="95"/>
      <c r="BA244" s="95"/>
      <c r="BB244" s="95"/>
      <c r="BC244" s="95"/>
      <c r="BD244" s="95"/>
      <c r="BE244" s="95"/>
      <c r="BF244" s="95"/>
      <c r="BG244" s="95"/>
      <c r="BH244" s="95"/>
      <c r="BI244" s="95"/>
      <c r="BJ244" s="95"/>
      <c r="BK244" s="95"/>
      <c r="BL244" s="95"/>
      <c r="BM244" s="95"/>
    </row>
    <row r="245" spans="1:65" s="187" customFormat="1">
      <c r="A245" s="130"/>
      <c r="B245" s="252" t="s">
        <v>151</v>
      </c>
      <c r="C245" s="130" t="s">
        <v>141</v>
      </c>
      <c r="D245" s="173">
        <v>2</v>
      </c>
      <c r="E245" s="186"/>
      <c r="F245" s="186">
        <f t="shared" si="7"/>
        <v>0</v>
      </c>
      <c r="G245" s="126"/>
      <c r="H245" s="95"/>
      <c r="I245" s="95"/>
      <c r="J245" s="95"/>
      <c r="K245" s="95"/>
      <c r="L245" s="95"/>
      <c r="M245" s="95"/>
      <c r="N245" s="95"/>
      <c r="O245" s="95"/>
      <c r="P245" s="95"/>
      <c r="Q245" s="95"/>
      <c r="R245" s="95"/>
      <c r="S245" s="95"/>
      <c r="T245" s="95"/>
      <c r="U245" s="95"/>
      <c r="V245" s="95"/>
      <c r="W245" s="95"/>
      <c r="X245" s="95"/>
      <c r="Y245" s="95"/>
      <c r="Z245" s="95"/>
      <c r="AA245" s="95"/>
      <c r="AB245" s="95"/>
      <c r="AC245" s="95"/>
      <c r="AD245" s="95"/>
      <c r="AE245" s="95"/>
      <c r="AF245" s="95"/>
      <c r="AG245" s="95"/>
      <c r="AH245" s="95"/>
      <c r="AI245" s="95"/>
      <c r="AJ245" s="95"/>
      <c r="AK245" s="95"/>
      <c r="AL245" s="95"/>
      <c r="AM245" s="95"/>
      <c r="AN245" s="95"/>
      <c r="AO245" s="95"/>
      <c r="AP245" s="95"/>
      <c r="AQ245" s="95"/>
      <c r="AR245" s="95"/>
      <c r="AS245" s="95"/>
      <c r="AT245" s="95"/>
      <c r="AU245" s="95"/>
      <c r="AV245" s="95"/>
      <c r="AW245" s="95"/>
      <c r="AX245" s="95"/>
      <c r="AY245" s="95"/>
      <c r="AZ245" s="95"/>
      <c r="BA245" s="95"/>
      <c r="BB245" s="95"/>
      <c r="BC245" s="95"/>
      <c r="BD245" s="95"/>
      <c r="BE245" s="95"/>
      <c r="BF245" s="95"/>
      <c r="BG245" s="95"/>
      <c r="BH245" s="95"/>
      <c r="BI245" s="95"/>
      <c r="BJ245" s="95"/>
      <c r="BK245" s="95"/>
      <c r="BL245" s="95"/>
      <c r="BM245" s="95"/>
    </row>
    <row r="246" spans="1:65" s="187" customFormat="1">
      <c r="A246" s="130"/>
      <c r="B246" s="191" t="s">
        <v>152</v>
      </c>
      <c r="C246" s="128" t="s">
        <v>141</v>
      </c>
      <c r="D246" s="173">
        <v>2</v>
      </c>
      <c r="E246" s="186"/>
      <c r="F246" s="186">
        <f t="shared" si="7"/>
        <v>0</v>
      </c>
      <c r="G246" s="126"/>
      <c r="H246" s="95"/>
      <c r="I246" s="95"/>
      <c r="J246" s="95"/>
      <c r="K246" s="95"/>
      <c r="L246" s="95"/>
      <c r="M246" s="95"/>
      <c r="N246" s="95"/>
      <c r="O246" s="95"/>
      <c r="P246" s="95"/>
      <c r="Q246" s="95"/>
      <c r="R246" s="95"/>
      <c r="S246" s="95"/>
      <c r="T246" s="95"/>
      <c r="U246" s="95"/>
      <c r="V246" s="95"/>
      <c r="W246" s="95"/>
      <c r="X246" s="95"/>
      <c r="Y246" s="95"/>
      <c r="Z246" s="95"/>
      <c r="AA246" s="95"/>
      <c r="AB246" s="95"/>
      <c r="AC246" s="95"/>
      <c r="AD246" s="95"/>
      <c r="AE246" s="95"/>
      <c r="AF246" s="95"/>
      <c r="AG246" s="95"/>
      <c r="AH246" s="95"/>
      <c r="AI246" s="95"/>
      <c r="AJ246" s="95"/>
      <c r="AK246" s="95"/>
      <c r="AL246" s="95"/>
      <c r="AM246" s="95"/>
      <c r="AN246" s="95"/>
      <c r="AO246" s="95"/>
      <c r="AP246" s="95"/>
      <c r="AQ246" s="95"/>
      <c r="AR246" s="95"/>
      <c r="AS246" s="95"/>
      <c r="AT246" s="95"/>
      <c r="AU246" s="95"/>
      <c r="AV246" s="95"/>
      <c r="AW246" s="95"/>
      <c r="AX246" s="95"/>
      <c r="AY246" s="95"/>
      <c r="AZ246" s="95"/>
      <c r="BA246" s="95"/>
      <c r="BB246" s="95"/>
      <c r="BC246" s="95"/>
      <c r="BD246" s="95"/>
      <c r="BE246" s="95"/>
      <c r="BF246" s="95"/>
      <c r="BG246" s="95"/>
      <c r="BH246" s="95"/>
      <c r="BI246" s="95"/>
      <c r="BJ246" s="95"/>
      <c r="BK246" s="95"/>
      <c r="BL246" s="95"/>
      <c r="BM246" s="95"/>
    </row>
    <row r="247" spans="1:65" s="187" customFormat="1">
      <c r="A247" s="130"/>
      <c r="B247" s="191"/>
      <c r="C247" s="128"/>
      <c r="D247" s="173"/>
      <c r="E247" s="186"/>
      <c r="F247" s="186"/>
      <c r="G247" s="126"/>
      <c r="H247" s="95"/>
      <c r="I247" s="95"/>
      <c r="J247" s="95"/>
      <c r="K247" s="95"/>
      <c r="L247" s="95"/>
      <c r="M247" s="95"/>
      <c r="N247" s="95"/>
      <c r="O247" s="95"/>
      <c r="P247" s="95"/>
      <c r="Q247" s="95"/>
      <c r="R247" s="95"/>
      <c r="S247" s="95"/>
      <c r="T247" s="95"/>
      <c r="U247" s="95"/>
      <c r="V247" s="95"/>
      <c r="W247" s="95"/>
      <c r="X247" s="95"/>
      <c r="Y247" s="95"/>
      <c r="Z247" s="95"/>
      <c r="AA247" s="95"/>
      <c r="AB247" s="95"/>
      <c r="AC247" s="95"/>
      <c r="AD247" s="95"/>
      <c r="AE247" s="95"/>
      <c r="AF247" s="95"/>
      <c r="AG247" s="95"/>
      <c r="AH247" s="95"/>
      <c r="AI247" s="95"/>
      <c r="AJ247" s="95"/>
      <c r="AK247" s="95"/>
      <c r="AL247" s="95"/>
      <c r="AM247" s="95"/>
      <c r="AN247" s="95"/>
      <c r="AO247" s="95"/>
      <c r="AP247" s="95"/>
      <c r="AQ247" s="95"/>
      <c r="AR247" s="95"/>
      <c r="AS247" s="95"/>
      <c r="AT247" s="95"/>
      <c r="AU247" s="95"/>
      <c r="AV247" s="95"/>
      <c r="AW247" s="95"/>
      <c r="AX247" s="95"/>
      <c r="AY247" s="95"/>
      <c r="AZ247" s="95"/>
      <c r="BA247" s="95"/>
      <c r="BB247" s="95"/>
      <c r="BC247" s="95"/>
      <c r="BD247" s="95"/>
      <c r="BE247" s="95"/>
      <c r="BF247" s="95"/>
      <c r="BG247" s="95"/>
      <c r="BH247" s="95"/>
      <c r="BI247" s="95"/>
      <c r="BJ247" s="95"/>
      <c r="BK247" s="95"/>
      <c r="BL247" s="95"/>
      <c r="BM247" s="95"/>
    </row>
    <row r="248" spans="1:65" s="187" customFormat="1" ht="13">
      <c r="A248" s="130"/>
      <c r="B248" s="192" t="s">
        <v>153</v>
      </c>
      <c r="C248" s="130"/>
      <c r="D248" s="131"/>
      <c r="E248" s="186"/>
      <c r="F248" s="186">
        <f t="shared" si="7"/>
        <v>0</v>
      </c>
      <c r="G248" s="126"/>
      <c r="H248" s="95"/>
      <c r="I248" s="95"/>
      <c r="J248" s="95"/>
      <c r="K248" s="95"/>
      <c r="L248" s="95"/>
      <c r="M248" s="95"/>
      <c r="N248" s="95"/>
      <c r="O248" s="95"/>
      <c r="P248" s="95"/>
      <c r="Q248" s="95"/>
      <c r="R248" s="95"/>
      <c r="S248" s="95"/>
      <c r="T248" s="95"/>
      <c r="U248" s="95"/>
      <c r="V248" s="95"/>
      <c r="W248" s="95"/>
      <c r="X248" s="95"/>
      <c r="Y248" s="95"/>
      <c r="Z248" s="95"/>
      <c r="AA248" s="95"/>
      <c r="AB248" s="95"/>
      <c r="AC248" s="95"/>
      <c r="AD248" s="95"/>
      <c r="AE248" s="95"/>
      <c r="AF248" s="95"/>
      <c r="AG248" s="95"/>
      <c r="AH248" s="95"/>
      <c r="AI248" s="95"/>
      <c r="AJ248" s="95"/>
      <c r="AK248" s="95"/>
      <c r="AL248" s="95"/>
      <c r="AM248" s="95"/>
      <c r="AN248" s="95"/>
      <c r="AO248" s="95"/>
      <c r="AP248" s="95"/>
      <c r="AQ248" s="95"/>
      <c r="AR248" s="95"/>
      <c r="AS248" s="95"/>
      <c r="AT248" s="95"/>
      <c r="AU248" s="95"/>
      <c r="AV248" s="95"/>
      <c r="AW248" s="95"/>
      <c r="AX248" s="95"/>
      <c r="AY248" s="95"/>
      <c r="AZ248" s="95"/>
      <c r="BA248" s="95"/>
      <c r="BB248" s="95"/>
      <c r="BC248" s="95"/>
      <c r="BD248" s="95"/>
      <c r="BE248" s="95"/>
      <c r="BF248" s="95"/>
      <c r="BG248" s="95"/>
      <c r="BH248" s="95"/>
      <c r="BI248" s="95"/>
      <c r="BJ248" s="95"/>
      <c r="BK248" s="95"/>
      <c r="BL248" s="95"/>
      <c r="BM248" s="95"/>
    </row>
    <row r="249" spans="1:65" s="187" customFormat="1" ht="25">
      <c r="A249" s="130"/>
      <c r="B249" s="252" t="s">
        <v>143</v>
      </c>
      <c r="C249" s="128" t="s">
        <v>149</v>
      </c>
      <c r="D249" s="131">
        <f>2.5*4*2.5</f>
        <v>25</v>
      </c>
      <c r="E249" s="186"/>
      <c r="F249" s="186">
        <f t="shared" si="7"/>
        <v>0</v>
      </c>
      <c r="G249" s="126"/>
      <c r="H249" s="95"/>
      <c r="I249" s="95"/>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c r="AG249" s="95"/>
      <c r="AH249" s="95"/>
      <c r="AI249" s="95"/>
      <c r="AJ249" s="95"/>
      <c r="AK249" s="95"/>
      <c r="AL249" s="95"/>
      <c r="AM249" s="95"/>
      <c r="AN249" s="95"/>
      <c r="AO249" s="95"/>
      <c r="AP249" s="95"/>
      <c r="AQ249" s="95"/>
      <c r="AR249" s="95"/>
      <c r="AS249" s="95"/>
      <c r="AT249" s="95"/>
      <c r="AU249" s="95"/>
      <c r="AV249" s="95"/>
      <c r="AW249" s="95"/>
      <c r="AX249" s="95"/>
      <c r="AY249" s="95"/>
      <c r="AZ249" s="95"/>
      <c r="BA249" s="95"/>
      <c r="BB249" s="95"/>
      <c r="BC249" s="95"/>
      <c r="BD249" s="95"/>
      <c r="BE249" s="95"/>
      <c r="BF249" s="95"/>
      <c r="BG249" s="95"/>
      <c r="BH249" s="95"/>
      <c r="BI249" s="95"/>
      <c r="BJ249" s="95"/>
      <c r="BK249" s="95"/>
      <c r="BL249" s="95"/>
      <c r="BM249" s="95"/>
    </row>
    <row r="250" spans="1:65" s="187" customFormat="1" ht="14.5">
      <c r="A250" s="130"/>
      <c r="B250" s="252" t="s">
        <v>144</v>
      </c>
      <c r="C250" s="128" t="s">
        <v>348</v>
      </c>
      <c r="D250" s="131">
        <f>2.5*4</f>
        <v>10</v>
      </c>
      <c r="E250" s="186"/>
      <c r="F250" s="186">
        <f t="shared" si="7"/>
        <v>0</v>
      </c>
      <c r="G250" s="126"/>
      <c r="H250" s="95"/>
      <c r="I250" s="95"/>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c r="AG250" s="95"/>
      <c r="AH250" s="95"/>
      <c r="AI250" s="95"/>
      <c r="AJ250" s="95"/>
      <c r="AK250" s="95"/>
      <c r="AL250" s="95"/>
      <c r="AM250" s="95"/>
      <c r="AN250" s="95"/>
      <c r="AO250" s="95"/>
      <c r="AP250" s="95"/>
      <c r="AQ250" s="95"/>
      <c r="AR250" s="95"/>
      <c r="AS250" s="95"/>
      <c r="AT250" s="95"/>
      <c r="AU250" s="95"/>
      <c r="AV250" s="95"/>
      <c r="AW250" s="95"/>
      <c r="AX250" s="95"/>
      <c r="AY250" s="95"/>
      <c r="AZ250" s="95"/>
      <c r="BA250" s="95"/>
      <c r="BB250" s="95"/>
      <c r="BC250" s="95"/>
      <c r="BD250" s="95"/>
      <c r="BE250" s="95"/>
      <c r="BF250" s="95"/>
      <c r="BG250" s="95"/>
      <c r="BH250" s="95"/>
      <c r="BI250" s="95"/>
      <c r="BJ250" s="95"/>
      <c r="BK250" s="95"/>
      <c r="BL250" s="95"/>
      <c r="BM250" s="95"/>
    </row>
    <row r="251" spans="1:65" s="187" customFormat="1" ht="14.5">
      <c r="A251" s="130"/>
      <c r="B251" s="191" t="s">
        <v>154</v>
      </c>
      <c r="C251" s="128" t="s">
        <v>348</v>
      </c>
      <c r="D251" s="131">
        <f>2.5*4</f>
        <v>10</v>
      </c>
      <c r="E251" s="186"/>
      <c r="F251" s="186">
        <f t="shared" si="7"/>
        <v>0</v>
      </c>
      <c r="G251" s="126"/>
      <c r="H251" s="95"/>
      <c r="I251" s="95"/>
      <c r="J251" s="95"/>
      <c r="K251" s="95"/>
      <c r="L251" s="95"/>
      <c r="M251" s="95"/>
      <c r="N251" s="95"/>
      <c r="O251" s="95"/>
      <c r="P251" s="95"/>
      <c r="Q251" s="95"/>
      <c r="R251" s="95"/>
      <c r="S251" s="95"/>
      <c r="T251" s="95"/>
      <c r="U251" s="95"/>
      <c r="V251" s="95"/>
      <c r="W251" s="95"/>
      <c r="X251" s="95"/>
      <c r="Y251" s="95"/>
      <c r="Z251" s="95"/>
      <c r="AA251" s="95"/>
      <c r="AB251" s="95"/>
      <c r="AC251" s="95"/>
      <c r="AD251" s="95"/>
      <c r="AE251" s="95"/>
      <c r="AF251" s="95"/>
      <c r="AG251" s="95"/>
      <c r="AH251" s="95"/>
      <c r="AI251" s="95"/>
      <c r="AJ251" s="95"/>
      <c r="AK251" s="95"/>
      <c r="AL251" s="95"/>
      <c r="AM251" s="95"/>
      <c r="AN251" s="95"/>
      <c r="AO251" s="95"/>
      <c r="AP251" s="95"/>
      <c r="AQ251" s="95"/>
      <c r="AR251" s="95"/>
      <c r="AS251" s="95"/>
      <c r="AT251" s="95"/>
      <c r="AU251" s="95"/>
      <c r="AV251" s="95"/>
      <c r="AW251" s="95"/>
      <c r="AX251" s="95"/>
      <c r="AY251" s="95"/>
      <c r="AZ251" s="95"/>
      <c r="BA251" s="95"/>
      <c r="BB251" s="95"/>
      <c r="BC251" s="95"/>
      <c r="BD251" s="95"/>
      <c r="BE251" s="95"/>
      <c r="BF251" s="95"/>
      <c r="BG251" s="95"/>
      <c r="BH251" s="95"/>
      <c r="BI251" s="95"/>
      <c r="BJ251" s="95"/>
      <c r="BK251" s="95"/>
      <c r="BL251" s="95"/>
      <c r="BM251" s="95"/>
    </row>
    <row r="252" spans="1:65" s="187" customFormat="1" ht="14.5">
      <c r="A252" s="130"/>
      <c r="B252" s="191" t="s">
        <v>155</v>
      </c>
      <c r="C252" s="128" t="s">
        <v>348</v>
      </c>
      <c r="D252" s="131">
        <v>1</v>
      </c>
      <c r="E252" s="186"/>
      <c r="F252" s="186">
        <f t="shared" si="7"/>
        <v>0</v>
      </c>
      <c r="G252" s="126"/>
      <c r="H252" s="95"/>
      <c r="I252" s="95"/>
      <c r="J252" s="95"/>
      <c r="K252" s="95"/>
      <c r="L252" s="95"/>
      <c r="M252" s="95"/>
      <c r="N252" s="95"/>
      <c r="O252" s="95"/>
      <c r="P252" s="95"/>
      <c r="Q252" s="95"/>
      <c r="R252" s="95"/>
      <c r="S252" s="95"/>
      <c r="T252" s="95"/>
      <c r="U252" s="95"/>
      <c r="V252" s="95"/>
      <c r="W252" s="95"/>
      <c r="X252" s="95"/>
      <c r="Y252" s="95"/>
      <c r="Z252" s="95"/>
      <c r="AA252" s="95"/>
      <c r="AB252" s="95"/>
      <c r="AC252" s="95"/>
      <c r="AD252" s="95"/>
      <c r="AE252" s="95"/>
      <c r="AF252" s="95"/>
      <c r="AG252" s="95"/>
      <c r="AH252" s="95"/>
      <c r="AI252" s="95"/>
      <c r="AJ252" s="95"/>
      <c r="AK252" s="95"/>
      <c r="AL252" s="95"/>
      <c r="AM252" s="95"/>
      <c r="AN252" s="95"/>
      <c r="AO252" s="95"/>
      <c r="AP252" s="95"/>
      <c r="AQ252" s="95"/>
      <c r="AR252" s="95"/>
      <c r="AS252" s="95"/>
      <c r="AT252" s="95"/>
      <c r="AU252" s="95"/>
      <c r="AV252" s="95"/>
      <c r="AW252" s="95"/>
      <c r="AX252" s="95"/>
      <c r="AY252" s="95"/>
      <c r="AZ252" s="95"/>
      <c r="BA252" s="95"/>
      <c r="BB252" s="95"/>
      <c r="BC252" s="95"/>
      <c r="BD252" s="95"/>
      <c r="BE252" s="95"/>
      <c r="BF252" s="95"/>
      <c r="BG252" s="95"/>
      <c r="BH252" s="95"/>
      <c r="BI252" s="95"/>
      <c r="BJ252" s="95"/>
      <c r="BK252" s="95"/>
      <c r="BL252" s="95"/>
      <c r="BM252" s="95"/>
    </row>
    <row r="253" spans="1:65" s="187" customFormat="1" ht="14.5">
      <c r="A253" s="130"/>
      <c r="B253" s="191" t="s">
        <v>156</v>
      </c>
      <c r="C253" s="128" t="s">
        <v>348</v>
      </c>
      <c r="D253" s="131">
        <v>3</v>
      </c>
      <c r="E253" s="186"/>
      <c r="F253" s="186">
        <f t="shared" si="7"/>
        <v>0</v>
      </c>
      <c r="G253" s="126"/>
      <c r="H253" s="95"/>
      <c r="I253" s="95"/>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c r="AG253" s="95"/>
      <c r="AH253" s="95"/>
      <c r="AI253" s="95"/>
      <c r="AJ253" s="95"/>
      <c r="AK253" s="95"/>
      <c r="AL253" s="95"/>
      <c r="AM253" s="95"/>
      <c r="AN253" s="95"/>
      <c r="AO253" s="95"/>
      <c r="AP253" s="95"/>
      <c r="AQ253" s="95"/>
      <c r="AR253" s="95"/>
      <c r="AS253" s="95"/>
      <c r="AT253" s="95"/>
      <c r="AU253" s="95"/>
      <c r="AV253" s="95"/>
      <c r="AW253" s="95"/>
      <c r="AX253" s="95"/>
      <c r="AY253" s="95"/>
      <c r="AZ253" s="95"/>
      <c r="BA253" s="95"/>
      <c r="BB253" s="95"/>
      <c r="BC253" s="95"/>
      <c r="BD253" s="95"/>
      <c r="BE253" s="95"/>
      <c r="BF253" s="95"/>
      <c r="BG253" s="95"/>
      <c r="BH253" s="95"/>
      <c r="BI253" s="95"/>
      <c r="BJ253" s="95"/>
      <c r="BK253" s="95"/>
      <c r="BL253" s="95"/>
      <c r="BM253" s="95"/>
    </row>
    <row r="254" spans="1:65" s="187" customFormat="1" ht="25">
      <c r="A254" s="130"/>
      <c r="B254" s="252" t="s">
        <v>157</v>
      </c>
      <c r="C254" s="128" t="s">
        <v>141</v>
      </c>
      <c r="D254" s="173">
        <v>3</v>
      </c>
      <c r="E254" s="186"/>
      <c r="F254" s="186">
        <f t="shared" si="7"/>
        <v>0</v>
      </c>
      <c r="G254" s="126"/>
      <c r="H254" s="95"/>
      <c r="I254" s="95"/>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c r="AG254" s="95"/>
      <c r="AH254" s="95"/>
      <c r="AI254" s="95"/>
      <c r="AJ254" s="95"/>
      <c r="AK254" s="95"/>
      <c r="AL254" s="95"/>
      <c r="AM254" s="95"/>
      <c r="AN254" s="95"/>
      <c r="AO254" s="95"/>
      <c r="AP254" s="95"/>
      <c r="AQ254" s="95"/>
      <c r="AR254" s="95"/>
      <c r="AS254" s="95"/>
      <c r="AT254" s="95"/>
      <c r="AU254" s="95"/>
      <c r="AV254" s="95"/>
      <c r="AW254" s="95"/>
      <c r="AX254" s="95"/>
      <c r="AY254" s="95"/>
      <c r="AZ254" s="95"/>
      <c r="BA254" s="95"/>
      <c r="BB254" s="95"/>
      <c r="BC254" s="95"/>
      <c r="BD254" s="95"/>
      <c r="BE254" s="95"/>
      <c r="BF254" s="95"/>
      <c r="BG254" s="95"/>
      <c r="BH254" s="95"/>
      <c r="BI254" s="95"/>
      <c r="BJ254" s="95"/>
      <c r="BK254" s="95"/>
      <c r="BL254" s="95"/>
      <c r="BM254" s="95"/>
    </row>
    <row r="255" spans="1:65" s="187" customFormat="1">
      <c r="A255" s="130"/>
      <c r="B255" s="252" t="s">
        <v>158</v>
      </c>
      <c r="C255" s="128" t="s">
        <v>141</v>
      </c>
      <c r="D255" s="173">
        <v>3</v>
      </c>
      <c r="E255" s="186"/>
      <c r="F255" s="186">
        <f t="shared" si="7"/>
        <v>0</v>
      </c>
      <c r="G255" s="126"/>
      <c r="H255" s="95"/>
      <c r="I255" s="95"/>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c r="AG255" s="95"/>
      <c r="AH255" s="95"/>
      <c r="AI255" s="95"/>
      <c r="AJ255" s="95"/>
      <c r="AK255" s="95"/>
      <c r="AL255" s="95"/>
      <c r="AM255" s="95"/>
      <c r="AN255" s="95"/>
      <c r="AO255" s="95"/>
      <c r="AP255" s="95"/>
      <c r="AQ255" s="95"/>
      <c r="AR255" s="95"/>
      <c r="AS255" s="95"/>
      <c r="AT255" s="95"/>
      <c r="AU255" s="95"/>
      <c r="AV255" s="95"/>
      <c r="AW255" s="95"/>
      <c r="AX255" s="95"/>
      <c r="AY255" s="95"/>
      <c r="AZ255" s="95"/>
      <c r="BA255" s="95"/>
      <c r="BB255" s="95"/>
      <c r="BC255" s="95"/>
      <c r="BD255" s="95"/>
      <c r="BE255" s="95"/>
      <c r="BF255" s="95"/>
      <c r="BG255" s="95"/>
      <c r="BH255" s="95"/>
      <c r="BI255" s="95"/>
      <c r="BJ255" s="95"/>
      <c r="BK255" s="95"/>
      <c r="BL255" s="95"/>
      <c r="BM255" s="95"/>
    </row>
    <row r="256" spans="1:65" s="187" customFormat="1">
      <c r="A256" s="130"/>
      <c r="B256" s="191" t="s">
        <v>159</v>
      </c>
      <c r="C256" s="128" t="s">
        <v>141</v>
      </c>
      <c r="D256" s="173">
        <f>2*(1.5*1.1)</f>
        <v>3.3000000000000003</v>
      </c>
      <c r="E256" s="186"/>
      <c r="F256" s="186">
        <f t="shared" si="7"/>
        <v>0</v>
      </c>
      <c r="G256" s="126"/>
      <c r="H256" s="95"/>
      <c r="I256" s="95"/>
      <c r="J256" s="95"/>
      <c r="K256" s="95"/>
      <c r="L256" s="95"/>
      <c r="M256" s="95"/>
      <c r="N256" s="95"/>
      <c r="O256" s="95"/>
      <c r="P256" s="95"/>
      <c r="Q256" s="95"/>
      <c r="R256" s="95"/>
      <c r="S256" s="95"/>
      <c r="T256" s="95"/>
      <c r="U256" s="95"/>
      <c r="V256" s="95"/>
      <c r="W256" s="95"/>
      <c r="X256" s="95"/>
      <c r="Y256" s="95"/>
      <c r="Z256" s="95"/>
      <c r="AA256" s="95"/>
      <c r="AB256" s="95"/>
      <c r="AC256" s="95"/>
      <c r="AD256" s="95"/>
      <c r="AE256" s="95"/>
      <c r="AF256" s="95"/>
      <c r="AG256" s="95"/>
      <c r="AH256" s="95"/>
      <c r="AI256" s="95"/>
      <c r="AJ256" s="95"/>
      <c r="AK256" s="95"/>
      <c r="AL256" s="95"/>
      <c r="AM256" s="95"/>
      <c r="AN256" s="95"/>
      <c r="AO256" s="95"/>
      <c r="AP256" s="95"/>
      <c r="AQ256" s="95"/>
      <c r="AR256" s="95"/>
      <c r="AS256" s="95"/>
      <c r="AT256" s="95"/>
      <c r="AU256" s="95"/>
      <c r="AV256" s="95"/>
      <c r="AW256" s="95"/>
      <c r="AX256" s="95"/>
      <c r="AY256" s="95"/>
      <c r="AZ256" s="95"/>
      <c r="BA256" s="95"/>
      <c r="BB256" s="95"/>
      <c r="BC256" s="95"/>
      <c r="BD256" s="95"/>
      <c r="BE256" s="95"/>
      <c r="BF256" s="95"/>
      <c r="BG256" s="95"/>
      <c r="BH256" s="95"/>
      <c r="BI256" s="95"/>
      <c r="BJ256" s="95"/>
      <c r="BK256" s="95"/>
      <c r="BL256" s="95"/>
      <c r="BM256" s="95"/>
    </row>
    <row r="257" spans="1:65" s="187" customFormat="1">
      <c r="A257" s="130"/>
      <c r="B257" s="191" t="s">
        <v>160</v>
      </c>
      <c r="C257" s="130" t="s">
        <v>141</v>
      </c>
      <c r="D257" s="173">
        <v>1</v>
      </c>
      <c r="E257" s="186"/>
      <c r="F257" s="186">
        <f t="shared" si="7"/>
        <v>0</v>
      </c>
      <c r="G257" s="126"/>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c r="AG257" s="95"/>
      <c r="AH257" s="95"/>
      <c r="AI257" s="95"/>
      <c r="AJ257" s="95"/>
      <c r="AK257" s="95"/>
      <c r="AL257" s="95"/>
      <c r="AM257" s="95"/>
      <c r="AN257" s="95"/>
      <c r="AO257" s="95"/>
      <c r="AP257" s="95"/>
      <c r="AQ257" s="95"/>
      <c r="AR257" s="95"/>
      <c r="AS257" s="95"/>
      <c r="AT257" s="95"/>
      <c r="AU257" s="95"/>
      <c r="AV257" s="95"/>
      <c r="AW257" s="95"/>
      <c r="AX257" s="95"/>
      <c r="AY257" s="95"/>
      <c r="AZ257" s="95"/>
      <c r="BA257" s="95"/>
      <c r="BB257" s="95"/>
      <c r="BC257" s="95"/>
      <c r="BD257" s="95"/>
      <c r="BE257" s="95"/>
      <c r="BF257" s="95"/>
      <c r="BG257" s="95"/>
      <c r="BH257" s="95"/>
      <c r="BI257" s="95"/>
      <c r="BJ257" s="95"/>
      <c r="BK257" s="95"/>
      <c r="BL257" s="95"/>
      <c r="BM257" s="95"/>
    </row>
    <row r="258" spans="1:65" s="187" customFormat="1">
      <c r="A258" s="130"/>
      <c r="B258" s="191"/>
      <c r="C258" s="130"/>
      <c r="D258" s="173"/>
      <c r="E258" s="186"/>
      <c r="F258" s="186"/>
      <c r="G258" s="126"/>
      <c r="H258" s="95"/>
      <c r="I258" s="95"/>
      <c r="J258" s="95"/>
      <c r="K258" s="95"/>
      <c r="L258" s="95"/>
      <c r="M258" s="95"/>
      <c r="N258" s="95"/>
      <c r="O258" s="95"/>
      <c r="P258" s="95"/>
      <c r="Q258" s="95"/>
      <c r="R258" s="95"/>
      <c r="S258" s="95"/>
      <c r="T258" s="95"/>
      <c r="U258" s="95"/>
      <c r="V258" s="95"/>
      <c r="W258" s="95"/>
      <c r="X258" s="95"/>
      <c r="Y258" s="95"/>
      <c r="Z258" s="95"/>
      <c r="AA258" s="95"/>
      <c r="AB258" s="95"/>
      <c r="AC258" s="95"/>
      <c r="AD258" s="95"/>
      <c r="AE258" s="95"/>
      <c r="AF258" s="95"/>
      <c r="AG258" s="95"/>
      <c r="AH258" s="95"/>
      <c r="AI258" s="95"/>
      <c r="AJ258" s="95"/>
      <c r="AK258" s="95"/>
      <c r="AL258" s="95"/>
      <c r="AM258" s="95"/>
      <c r="AN258" s="95"/>
      <c r="AO258" s="95"/>
      <c r="AP258" s="95"/>
      <c r="AQ258" s="95"/>
      <c r="AR258" s="95"/>
      <c r="AS258" s="95"/>
      <c r="AT258" s="95"/>
      <c r="AU258" s="95"/>
      <c r="AV258" s="95"/>
      <c r="AW258" s="95"/>
      <c r="AX258" s="95"/>
      <c r="AY258" s="95"/>
      <c r="AZ258" s="95"/>
      <c r="BA258" s="95"/>
      <c r="BB258" s="95"/>
      <c r="BC258" s="95"/>
      <c r="BD258" s="95"/>
      <c r="BE258" s="95"/>
      <c r="BF258" s="95"/>
      <c r="BG258" s="95"/>
      <c r="BH258" s="95"/>
      <c r="BI258" s="95"/>
      <c r="BJ258" s="95"/>
      <c r="BK258" s="95"/>
      <c r="BL258" s="95"/>
      <c r="BM258" s="95"/>
    </row>
    <row r="259" spans="1:65" s="187" customFormat="1" ht="13">
      <c r="A259" s="130"/>
      <c r="B259" s="192" t="s">
        <v>161</v>
      </c>
      <c r="C259" s="128"/>
      <c r="D259" s="173"/>
      <c r="E259" s="186"/>
      <c r="F259" s="186">
        <f t="shared" si="7"/>
        <v>0</v>
      </c>
      <c r="G259" s="126"/>
      <c r="H259" s="95"/>
      <c r="I259" s="95"/>
      <c r="J259" s="95"/>
      <c r="K259" s="95"/>
      <c r="L259" s="95"/>
      <c r="M259" s="95"/>
      <c r="N259" s="95"/>
      <c r="O259" s="95"/>
      <c r="P259" s="95"/>
      <c r="Q259" s="95"/>
      <c r="R259" s="95"/>
      <c r="S259" s="95"/>
      <c r="T259" s="95"/>
      <c r="U259" s="95"/>
      <c r="V259" s="95"/>
      <c r="W259" s="95"/>
      <c r="X259" s="95"/>
      <c r="Y259" s="95"/>
      <c r="Z259" s="95"/>
      <c r="AA259" s="95"/>
      <c r="AB259" s="95"/>
      <c r="AC259" s="95"/>
      <c r="AD259" s="95"/>
      <c r="AE259" s="95"/>
      <c r="AF259" s="95"/>
      <c r="AG259" s="95"/>
      <c r="AH259" s="95"/>
      <c r="AI259" s="95"/>
      <c r="AJ259" s="95"/>
      <c r="AK259" s="95"/>
      <c r="AL259" s="95"/>
      <c r="AM259" s="95"/>
      <c r="AN259" s="95"/>
      <c r="AO259" s="95"/>
      <c r="AP259" s="95"/>
      <c r="AQ259" s="95"/>
      <c r="AR259" s="95"/>
      <c r="AS259" s="95"/>
      <c r="AT259" s="95"/>
      <c r="AU259" s="95"/>
      <c r="AV259" s="95"/>
      <c r="AW259" s="95"/>
      <c r="AX259" s="95"/>
      <c r="AY259" s="95"/>
      <c r="AZ259" s="95"/>
      <c r="BA259" s="95"/>
      <c r="BB259" s="95"/>
      <c r="BC259" s="95"/>
      <c r="BD259" s="95"/>
      <c r="BE259" s="95"/>
      <c r="BF259" s="95"/>
      <c r="BG259" s="95"/>
      <c r="BH259" s="95"/>
      <c r="BI259" s="95"/>
      <c r="BJ259" s="95"/>
      <c r="BK259" s="95"/>
      <c r="BL259" s="95"/>
      <c r="BM259" s="95"/>
    </row>
    <row r="260" spans="1:65" s="187" customFormat="1" ht="25">
      <c r="A260" s="130"/>
      <c r="B260" s="252" t="s">
        <v>143</v>
      </c>
      <c r="C260" s="128" t="s">
        <v>348</v>
      </c>
      <c r="D260" s="131">
        <f>6*5*2.5</f>
        <v>75</v>
      </c>
      <c r="E260" s="186"/>
      <c r="F260" s="186">
        <f t="shared" si="7"/>
        <v>0</v>
      </c>
      <c r="G260" s="126"/>
      <c r="H260" s="95"/>
      <c r="I260" s="95"/>
      <c r="J260" s="95"/>
      <c r="K260" s="95"/>
      <c r="L260" s="95"/>
      <c r="M260" s="95"/>
      <c r="N260" s="95"/>
      <c r="O260" s="95"/>
      <c r="P260" s="95"/>
      <c r="Q260" s="95"/>
      <c r="R260" s="95"/>
      <c r="S260" s="95"/>
      <c r="T260" s="95"/>
      <c r="U260" s="95"/>
      <c r="V260" s="95"/>
      <c r="W260" s="95"/>
      <c r="X260" s="95"/>
      <c r="Y260" s="95"/>
      <c r="Z260" s="95"/>
      <c r="AA260" s="95"/>
      <c r="AB260" s="95"/>
      <c r="AC260" s="95"/>
      <c r="AD260" s="95"/>
      <c r="AE260" s="95"/>
      <c r="AF260" s="95"/>
      <c r="AG260" s="95"/>
      <c r="AH260" s="95"/>
      <c r="AI260" s="95"/>
      <c r="AJ260" s="95"/>
      <c r="AK260" s="95"/>
      <c r="AL260" s="95"/>
      <c r="AM260" s="95"/>
      <c r="AN260" s="95"/>
      <c r="AO260" s="95"/>
      <c r="AP260" s="95"/>
      <c r="AQ260" s="95"/>
      <c r="AR260" s="95"/>
      <c r="AS260" s="95"/>
      <c r="AT260" s="95"/>
      <c r="AU260" s="95"/>
      <c r="AV260" s="95"/>
      <c r="AW260" s="95"/>
      <c r="AX260" s="95"/>
      <c r="AY260" s="95"/>
      <c r="AZ260" s="95"/>
      <c r="BA260" s="95"/>
      <c r="BB260" s="95"/>
      <c r="BC260" s="95"/>
      <c r="BD260" s="95"/>
      <c r="BE260" s="95"/>
      <c r="BF260" s="95"/>
      <c r="BG260" s="95"/>
      <c r="BH260" s="95"/>
      <c r="BI260" s="95"/>
      <c r="BJ260" s="95"/>
      <c r="BK260" s="95"/>
      <c r="BL260" s="95"/>
      <c r="BM260" s="95"/>
    </row>
    <row r="261" spans="1:65" s="187" customFormat="1" ht="14.5">
      <c r="A261" s="130"/>
      <c r="B261" s="252" t="s">
        <v>162</v>
      </c>
      <c r="C261" s="128" t="s">
        <v>348</v>
      </c>
      <c r="D261" s="131">
        <f>6*5</f>
        <v>30</v>
      </c>
      <c r="E261" s="186"/>
      <c r="F261" s="186">
        <f t="shared" si="7"/>
        <v>0</v>
      </c>
      <c r="G261" s="126"/>
      <c r="H261" s="95"/>
      <c r="I261" s="95"/>
      <c r="J261" s="95"/>
      <c r="K261" s="95"/>
      <c r="L261" s="95"/>
      <c r="M261" s="95"/>
      <c r="N261" s="95"/>
      <c r="O261" s="95"/>
      <c r="P261" s="95"/>
      <c r="Q261" s="95"/>
      <c r="R261" s="95"/>
      <c r="S261" s="95"/>
      <c r="T261" s="95"/>
      <c r="U261" s="95"/>
      <c r="V261" s="95"/>
      <c r="W261" s="95"/>
      <c r="X261" s="95"/>
      <c r="Y261" s="95"/>
      <c r="Z261" s="95"/>
      <c r="AA261" s="95"/>
      <c r="AB261" s="95"/>
      <c r="AC261" s="95"/>
      <c r="AD261" s="95"/>
      <c r="AE261" s="95"/>
      <c r="AF261" s="95"/>
      <c r="AG261" s="95"/>
      <c r="AH261" s="95"/>
      <c r="AI261" s="95"/>
      <c r="AJ261" s="95"/>
      <c r="AK261" s="95"/>
      <c r="AL261" s="95"/>
      <c r="AM261" s="95"/>
      <c r="AN261" s="95"/>
      <c r="AO261" s="95"/>
      <c r="AP261" s="95"/>
      <c r="AQ261" s="95"/>
      <c r="AR261" s="95"/>
      <c r="AS261" s="95"/>
      <c r="AT261" s="95"/>
      <c r="AU261" s="95"/>
      <c r="AV261" s="95"/>
      <c r="AW261" s="95"/>
      <c r="AX261" s="95"/>
      <c r="AY261" s="95"/>
      <c r="AZ261" s="95"/>
      <c r="BA261" s="95"/>
      <c r="BB261" s="95"/>
      <c r="BC261" s="95"/>
      <c r="BD261" s="95"/>
      <c r="BE261" s="95"/>
      <c r="BF261" s="95"/>
      <c r="BG261" s="95"/>
      <c r="BH261" s="95"/>
      <c r="BI261" s="95"/>
      <c r="BJ261" s="95"/>
      <c r="BK261" s="95"/>
      <c r="BL261" s="95"/>
      <c r="BM261" s="95"/>
    </row>
    <row r="262" spans="1:65" s="187" customFormat="1">
      <c r="A262" s="130"/>
      <c r="B262" s="191" t="s">
        <v>163</v>
      </c>
      <c r="C262" s="130" t="s">
        <v>54</v>
      </c>
      <c r="D262" s="131">
        <v>7.5</v>
      </c>
      <c r="E262" s="186"/>
      <c r="F262" s="186">
        <f t="shared" si="7"/>
        <v>0</v>
      </c>
      <c r="G262" s="126"/>
      <c r="H262" s="95"/>
      <c r="I262" s="95"/>
      <c r="J262" s="95"/>
      <c r="K262" s="95"/>
      <c r="L262" s="95"/>
      <c r="M262" s="95"/>
      <c r="N262" s="95"/>
      <c r="O262" s="95"/>
      <c r="P262" s="95"/>
      <c r="Q262" s="95"/>
      <c r="R262" s="95"/>
      <c r="S262" s="95"/>
      <c r="T262" s="95"/>
      <c r="U262" s="95"/>
      <c r="V262" s="95"/>
      <c r="W262" s="95"/>
      <c r="X262" s="95"/>
      <c r="Y262" s="95"/>
      <c r="Z262" s="95"/>
      <c r="AA262" s="95"/>
      <c r="AB262" s="95"/>
      <c r="AC262" s="95"/>
      <c r="AD262" s="95"/>
      <c r="AE262" s="95"/>
      <c r="AF262" s="95"/>
      <c r="AG262" s="95"/>
      <c r="AH262" s="95"/>
      <c r="AI262" s="95"/>
      <c r="AJ262" s="95"/>
      <c r="AK262" s="95"/>
      <c r="AL262" s="95"/>
      <c r="AM262" s="95"/>
      <c r="AN262" s="95"/>
      <c r="AO262" s="95"/>
      <c r="AP262" s="95"/>
      <c r="AQ262" s="95"/>
      <c r="AR262" s="95"/>
      <c r="AS262" s="95"/>
      <c r="AT262" s="95"/>
      <c r="AU262" s="95"/>
      <c r="AV262" s="95"/>
      <c r="AW262" s="95"/>
      <c r="AX262" s="95"/>
      <c r="AY262" s="95"/>
      <c r="AZ262" s="95"/>
      <c r="BA262" s="95"/>
      <c r="BB262" s="95"/>
      <c r="BC262" s="95"/>
      <c r="BD262" s="95"/>
      <c r="BE262" s="95"/>
      <c r="BF262" s="95"/>
      <c r="BG262" s="95"/>
      <c r="BH262" s="95"/>
      <c r="BI262" s="95"/>
      <c r="BJ262" s="95"/>
      <c r="BK262" s="95"/>
      <c r="BL262" s="95"/>
      <c r="BM262" s="95"/>
    </row>
    <row r="263" spans="1:65" s="187" customFormat="1" ht="14.5">
      <c r="A263" s="130"/>
      <c r="B263" s="191" t="s">
        <v>164</v>
      </c>
      <c r="C263" s="128" t="s">
        <v>348</v>
      </c>
      <c r="D263" s="173">
        <f>2*1.8</f>
        <v>3.6</v>
      </c>
      <c r="E263" s="186"/>
      <c r="F263" s="186">
        <f t="shared" si="7"/>
        <v>0</v>
      </c>
      <c r="G263" s="126"/>
      <c r="H263" s="95"/>
      <c r="I263" s="95"/>
      <c r="J263" s="95"/>
      <c r="K263" s="95"/>
      <c r="L263" s="95"/>
      <c r="M263" s="95"/>
      <c r="N263" s="95"/>
      <c r="O263" s="95"/>
      <c r="P263" s="95"/>
      <c r="Q263" s="95"/>
      <c r="R263" s="95"/>
      <c r="S263" s="95"/>
      <c r="T263" s="95"/>
      <c r="U263" s="95"/>
      <c r="V263" s="95"/>
      <c r="W263" s="95"/>
      <c r="X263" s="95"/>
      <c r="Y263" s="95"/>
      <c r="Z263" s="95"/>
      <c r="AA263" s="95"/>
      <c r="AB263" s="95"/>
      <c r="AC263" s="95"/>
      <c r="AD263" s="95"/>
      <c r="AE263" s="95"/>
      <c r="AF263" s="95"/>
      <c r="AG263" s="95"/>
      <c r="AH263" s="95"/>
      <c r="AI263" s="95"/>
      <c r="AJ263" s="95"/>
      <c r="AK263" s="95"/>
      <c r="AL263" s="95"/>
      <c r="AM263" s="95"/>
      <c r="AN263" s="95"/>
      <c r="AO263" s="95"/>
      <c r="AP263" s="95"/>
      <c r="AQ263" s="95"/>
      <c r="AR263" s="95"/>
      <c r="AS263" s="95"/>
      <c r="AT263" s="95"/>
      <c r="AU263" s="95"/>
      <c r="AV263" s="95"/>
      <c r="AW263" s="95"/>
      <c r="AX263" s="95"/>
      <c r="AY263" s="95"/>
      <c r="AZ263" s="95"/>
      <c r="BA263" s="95"/>
      <c r="BB263" s="95"/>
      <c r="BC263" s="95"/>
      <c r="BD263" s="95"/>
      <c r="BE263" s="95"/>
      <c r="BF263" s="95"/>
      <c r="BG263" s="95"/>
      <c r="BH263" s="95"/>
      <c r="BI263" s="95"/>
      <c r="BJ263" s="95"/>
      <c r="BK263" s="95"/>
      <c r="BL263" s="95"/>
      <c r="BM263" s="95"/>
    </row>
    <row r="264" spans="1:65" s="187" customFormat="1" ht="14.5">
      <c r="A264" s="130"/>
      <c r="B264" s="191" t="s">
        <v>165</v>
      </c>
      <c r="C264" s="128" t="s">
        <v>348</v>
      </c>
      <c r="D264" s="131">
        <f>6*5</f>
        <v>30</v>
      </c>
      <c r="E264" s="186"/>
      <c r="F264" s="186">
        <f t="shared" si="7"/>
        <v>0</v>
      </c>
      <c r="G264" s="126"/>
      <c r="H264" s="95"/>
      <c r="I264" s="95"/>
      <c r="J264" s="95"/>
      <c r="K264" s="95"/>
      <c r="L264" s="95"/>
      <c r="M264" s="95"/>
      <c r="N264" s="95"/>
      <c r="O264" s="95"/>
      <c r="P264" s="95"/>
      <c r="Q264" s="95"/>
      <c r="R264" s="95"/>
      <c r="S264" s="95"/>
      <c r="T264" s="95"/>
      <c r="U264" s="95"/>
      <c r="V264" s="95"/>
      <c r="W264" s="95"/>
      <c r="X264" s="95"/>
      <c r="Y264" s="95"/>
      <c r="Z264" s="95"/>
      <c r="AA264" s="95"/>
      <c r="AB264" s="95"/>
      <c r="AC264" s="95"/>
      <c r="AD264" s="95"/>
      <c r="AE264" s="95"/>
      <c r="AF264" s="95"/>
      <c r="AG264" s="95"/>
      <c r="AH264" s="95"/>
      <c r="AI264" s="95"/>
      <c r="AJ264" s="95"/>
      <c r="AK264" s="95"/>
      <c r="AL264" s="95"/>
      <c r="AM264" s="95"/>
      <c r="AN264" s="95"/>
      <c r="AO264" s="95"/>
      <c r="AP264" s="95"/>
      <c r="AQ264" s="95"/>
      <c r="AR264" s="95"/>
      <c r="AS264" s="95"/>
      <c r="AT264" s="95"/>
      <c r="AU264" s="95"/>
      <c r="AV264" s="95"/>
      <c r="AW264" s="95"/>
      <c r="AX264" s="95"/>
      <c r="AY264" s="95"/>
      <c r="AZ264" s="95"/>
      <c r="BA264" s="95"/>
      <c r="BB264" s="95"/>
      <c r="BC264" s="95"/>
      <c r="BD264" s="95"/>
      <c r="BE264" s="95"/>
      <c r="BF264" s="95"/>
      <c r="BG264" s="95"/>
      <c r="BH264" s="95"/>
      <c r="BI264" s="95"/>
      <c r="BJ264" s="95"/>
      <c r="BK264" s="95"/>
      <c r="BL264" s="95"/>
      <c r="BM264" s="95"/>
    </row>
    <row r="265" spans="1:65" s="187" customFormat="1">
      <c r="A265" s="130"/>
      <c r="B265" s="191"/>
      <c r="C265" s="128"/>
      <c r="D265" s="131"/>
      <c r="E265" s="186"/>
      <c r="F265" s="186"/>
      <c r="G265" s="126"/>
      <c r="H265" s="95"/>
      <c r="I265" s="95"/>
      <c r="J265" s="95"/>
      <c r="K265" s="95"/>
      <c r="L265" s="95"/>
      <c r="M265" s="95"/>
      <c r="N265" s="95"/>
      <c r="O265" s="95"/>
      <c r="P265" s="95"/>
      <c r="Q265" s="95"/>
      <c r="R265" s="95"/>
      <c r="S265" s="95"/>
      <c r="T265" s="95"/>
      <c r="U265" s="95"/>
      <c r="V265" s="95"/>
      <c r="W265" s="95"/>
      <c r="X265" s="95"/>
      <c r="Y265" s="95"/>
      <c r="Z265" s="95"/>
      <c r="AA265" s="95"/>
      <c r="AB265" s="95"/>
      <c r="AC265" s="95"/>
      <c r="AD265" s="95"/>
      <c r="AE265" s="95"/>
      <c r="AF265" s="95"/>
      <c r="AG265" s="95"/>
      <c r="AH265" s="95"/>
      <c r="AI265" s="95"/>
      <c r="AJ265" s="95"/>
      <c r="AK265" s="95"/>
      <c r="AL265" s="95"/>
      <c r="AM265" s="95"/>
      <c r="AN265" s="95"/>
      <c r="AO265" s="95"/>
      <c r="AP265" s="95"/>
      <c r="AQ265" s="95"/>
      <c r="AR265" s="95"/>
      <c r="AS265" s="95"/>
      <c r="AT265" s="95"/>
      <c r="AU265" s="95"/>
      <c r="AV265" s="95"/>
      <c r="AW265" s="95"/>
      <c r="AX265" s="95"/>
      <c r="AY265" s="95"/>
      <c r="AZ265" s="95"/>
      <c r="BA265" s="95"/>
      <c r="BB265" s="95"/>
      <c r="BC265" s="95"/>
      <c r="BD265" s="95"/>
      <c r="BE265" s="95"/>
      <c r="BF265" s="95"/>
      <c r="BG265" s="95"/>
      <c r="BH265" s="95"/>
      <c r="BI265" s="95"/>
      <c r="BJ265" s="95"/>
      <c r="BK265" s="95"/>
      <c r="BL265" s="95"/>
      <c r="BM265" s="95"/>
    </row>
    <row r="266" spans="1:65" s="187" customFormat="1" ht="13">
      <c r="A266" s="130"/>
      <c r="B266" s="192" t="s">
        <v>166</v>
      </c>
      <c r="C266" s="128"/>
      <c r="D266" s="173"/>
      <c r="E266" s="186"/>
      <c r="F266" s="186">
        <f t="shared" si="7"/>
        <v>0</v>
      </c>
      <c r="G266" s="126"/>
      <c r="H266" s="95"/>
      <c r="I266" s="95"/>
      <c r="J266" s="95"/>
      <c r="K266" s="95"/>
      <c r="L266" s="95"/>
      <c r="M266" s="95"/>
      <c r="N266" s="95"/>
      <c r="O266" s="95"/>
      <c r="P266" s="95"/>
      <c r="Q266" s="95"/>
      <c r="R266" s="95"/>
      <c r="S266" s="95"/>
      <c r="T266" s="95"/>
      <c r="U266" s="95"/>
      <c r="V266" s="95"/>
      <c r="W266" s="95"/>
      <c r="X266" s="95"/>
      <c r="Y266" s="95"/>
      <c r="Z266" s="95"/>
      <c r="AA266" s="95"/>
      <c r="AB266" s="95"/>
      <c r="AC266" s="95"/>
      <c r="AD266" s="95"/>
      <c r="AE266" s="95"/>
      <c r="AF266" s="95"/>
      <c r="AG266" s="95"/>
      <c r="AH266" s="95"/>
      <c r="AI266" s="95"/>
      <c r="AJ266" s="95"/>
      <c r="AK266" s="95"/>
      <c r="AL266" s="95"/>
      <c r="AM266" s="95"/>
      <c r="AN266" s="95"/>
      <c r="AO266" s="95"/>
      <c r="AP266" s="95"/>
      <c r="AQ266" s="95"/>
      <c r="AR266" s="95"/>
      <c r="AS266" s="95"/>
      <c r="AT266" s="95"/>
      <c r="AU266" s="95"/>
      <c r="AV266" s="95"/>
      <c r="AW266" s="95"/>
      <c r="AX266" s="95"/>
      <c r="AY266" s="95"/>
      <c r="AZ266" s="95"/>
      <c r="BA266" s="95"/>
      <c r="BB266" s="95"/>
      <c r="BC266" s="95"/>
      <c r="BD266" s="95"/>
      <c r="BE266" s="95"/>
      <c r="BF266" s="95"/>
      <c r="BG266" s="95"/>
      <c r="BH266" s="95"/>
      <c r="BI266" s="95"/>
      <c r="BJ266" s="95"/>
      <c r="BK266" s="95"/>
      <c r="BL266" s="95"/>
      <c r="BM266" s="95"/>
    </row>
    <row r="267" spans="1:65" s="187" customFormat="1" ht="25">
      <c r="A267" s="130"/>
      <c r="B267" s="252" t="s">
        <v>143</v>
      </c>
      <c r="C267" s="128" t="s">
        <v>348</v>
      </c>
      <c r="D267" s="131">
        <f>3*(2*(2.5*(4.5+4)))</f>
        <v>127.5</v>
      </c>
      <c r="E267" s="186"/>
      <c r="F267" s="186">
        <f t="shared" si="7"/>
        <v>0</v>
      </c>
      <c r="G267" s="126"/>
      <c r="H267" s="95"/>
      <c r="I267" s="95"/>
      <c r="J267" s="95"/>
      <c r="K267" s="95"/>
      <c r="L267" s="95"/>
      <c r="M267" s="95"/>
      <c r="N267" s="95"/>
      <c r="O267" s="95"/>
      <c r="P267" s="95"/>
      <c r="Q267" s="95"/>
      <c r="R267" s="95"/>
      <c r="S267" s="95"/>
      <c r="T267" s="95"/>
      <c r="U267" s="95"/>
      <c r="V267" s="95"/>
      <c r="W267" s="95"/>
      <c r="X267" s="95"/>
      <c r="Y267" s="95"/>
      <c r="Z267" s="95"/>
      <c r="AA267" s="95"/>
      <c r="AB267" s="95"/>
      <c r="AC267" s="95"/>
      <c r="AD267" s="95"/>
      <c r="AE267" s="95"/>
      <c r="AF267" s="95"/>
      <c r="AG267" s="95"/>
      <c r="AH267" s="95"/>
      <c r="AI267" s="95"/>
      <c r="AJ267" s="95"/>
      <c r="AK267" s="95"/>
      <c r="AL267" s="95"/>
      <c r="AM267" s="95"/>
      <c r="AN267" s="95"/>
      <c r="AO267" s="95"/>
      <c r="AP267" s="95"/>
      <c r="AQ267" s="95"/>
      <c r="AR267" s="95"/>
      <c r="AS267" s="95"/>
      <c r="AT267" s="95"/>
      <c r="AU267" s="95"/>
      <c r="AV267" s="95"/>
      <c r="AW267" s="95"/>
      <c r="AX267" s="95"/>
      <c r="AY267" s="95"/>
      <c r="AZ267" s="95"/>
      <c r="BA267" s="95"/>
      <c r="BB267" s="95"/>
      <c r="BC267" s="95"/>
      <c r="BD267" s="95"/>
      <c r="BE267" s="95"/>
      <c r="BF267" s="95"/>
      <c r="BG267" s="95"/>
      <c r="BH267" s="95"/>
      <c r="BI267" s="95"/>
      <c r="BJ267" s="95"/>
      <c r="BK267" s="95"/>
      <c r="BL267" s="95"/>
      <c r="BM267" s="95"/>
    </row>
    <row r="268" spans="1:65" s="187" customFormat="1" ht="14.5">
      <c r="A268" s="130"/>
      <c r="B268" s="252" t="s">
        <v>162</v>
      </c>
      <c r="C268" s="128" t="s">
        <v>348</v>
      </c>
      <c r="D268" s="131">
        <f>3*(4.5*4)</f>
        <v>54</v>
      </c>
      <c r="E268" s="186"/>
      <c r="F268" s="186">
        <f t="shared" si="7"/>
        <v>0</v>
      </c>
      <c r="G268" s="126"/>
      <c r="H268" s="95"/>
      <c r="I268" s="95"/>
      <c r="J268" s="95"/>
      <c r="K268" s="95"/>
      <c r="L268" s="95"/>
      <c r="M268" s="95"/>
      <c r="N268" s="95"/>
      <c r="O268" s="95"/>
      <c r="P268" s="95"/>
      <c r="Q268" s="95"/>
      <c r="R268" s="95"/>
      <c r="S268" s="95"/>
      <c r="T268" s="95"/>
      <c r="U268" s="95"/>
      <c r="V268" s="95"/>
      <c r="W268" s="95"/>
      <c r="X268" s="95"/>
      <c r="Y268" s="95"/>
      <c r="Z268" s="95"/>
      <c r="AA268" s="95"/>
      <c r="AB268" s="95"/>
      <c r="AC268" s="95"/>
      <c r="AD268" s="95"/>
      <c r="AE268" s="95"/>
      <c r="AF268" s="95"/>
      <c r="AG268" s="95"/>
      <c r="AH268" s="95"/>
      <c r="AI268" s="95"/>
      <c r="AJ268" s="95"/>
      <c r="AK268" s="95"/>
      <c r="AL268" s="95"/>
      <c r="AM268" s="95"/>
      <c r="AN268" s="95"/>
      <c r="AO268" s="95"/>
      <c r="AP268" s="95"/>
      <c r="AQ268" s="95"/>
      <c r="AR268" s="95"/>
      <c r="AS268" s="95"/>
      <c r="AT268" s="95"/>
      <c r="AU268" s="95"/>
      <c r="AV268" s="95"/>
      <c r="AW268" s="95"/>
      <c r="AX268" s="95"/>
      <c r="AY268" s="95"/>
      <c r="AZ268" s="95"/>
      <c r="BA268" s="95"/>
      <c r="BB268" s="95"/>
      <c r="BC268" s="95"/>
      <c r="BD268" s="95"/>
      <c r="BE268" s="95"/>
      <c r="BF268" s="95"/>
      <c r="BG268" s="95"/>
      <c r="BH268" s="95"/>
      <c r="BI268" s="95"/>
      <c r="BJ268" s="95"/>
      <c r="BK268" s="95"/>
      <c r="BL268" s="95"/>
      <c r="BM268" s="95"/>
    </row>
    <row r="269" spans="1:65" s="187" customFormat="1">
      <c r="A269" s="130"/>
      <c r="B269" s="191" t="s">
        <v>163</v>
      </c>
      <c r="C269" s="130" t="s">
        <v>54</v>
      </c>
      <c r="D269" s="131">
        <v>7.5</v>
      </c>
      <c r="E269" s="186"/>
      <c r="F269" s="186">
        <f t="shared" si="7"/>
        <v>0</v>
      </c>
      <c r="G269" s="126"/>
      <c r="H269" s="95"/>
      <c r="I269" s="95"/>
      <c r="J269" s="95"/>
      <c r="K269" s="95"/>
      <c r="L269" s="95"/>
      <c r="M269" s="95"/>
      <c r="N269" s="95"/>
      <c r="O269" s="95"/>
      <c r="P269" s="95"/>
      <c r="Q269" s="95"/>
      <c r="R269" s="95"/>
      <c r="S269" s="95"/>
      <c r="T269" s="95"/>
      <c r="U269" s="95"/>
      <c r="V269" s="95"/>
      <c r="W269" s="95"/>
      <c r="X269" s="95"/>
      <c r="Y269" s="95"/>
      <c r="Z269" s="95"/>
      <c r="AA269" s="95"/>
      <c r="AB269" s="95"/>
      <c r="AC269" s="95"/>
      <c r="AD269" s="95"/>
      <c r="AE269" s="95"/>
      <c r="AF269" s="95"/>
      <c r="AG269" s="95"/>
      <c r="AH269" s="95"/>
      <c r="AI269" s="95"/>
      <c r="AJ269" s="95"/>
      <c r="AK269" s="95"/>
      <c r="AL269" s="95"/>
      <c r="AM269" s="95"/>
      <c r="AN269" s="95"/>
      <c r="AO269" s="95"/>
      <c r="AP269" s="95"/>
      <c r="AQ269" s="95"/>
      <c r="AR269" s="95"/>
      <c r="AS269" s="95"/>
      <c r="AT269" s="95"/>
      <c r="AU269" s="95"/>
      <c r="AV269" s="95"/>
      <c r="AW269" s="95"/>
      <c r="AX269" s="95"/>
      <c r="AY269" s="95"/>
      <c r="AZ269" s="95"/>
      <c r="BA269" s="95"/>
      <c r="BB269" s="95"/>
      <c r="BC269" s="95"/>
      <c r="BD269" s="95"/>
      <c r="BE269" s="95"/>
      <c r="BF269" s="95"/>
      <c r="BG269" s="95"/>
      <c r="BH269" s="95"/>
      <c r="BI269" s="95"/>
      <c r="BJ269" s="95"/>
      <c r="BK269" s="95"/>
      <c r="BL269" s="95"/>
      <c r="BM269" s="95"/>
    </row>
    <row r="270" spans="1:65" s="187" customFormat="1">
      <c r="A270" s="130"/>
      <c r="B270" s="191" t="s">
        <v>167</v>
      </c>
      <c r="C270" s="128" t="s">
        <v>141</v>
      </c>
      <c r="D270" s="173">
        <v>3</v>
      </c>
      <c r="E270" s="186"/>
      <c r="F270" s="186">
        <f t="shared" si="7"/>
        <v>0</v>
      </c>
      <c r="G270" s="126"/>
      <c r="H270" s="95"/>
      <c r="I270" s="95"/>
      <c r="J270" s="95"/>
      <c r="K270" s="95"/>
      <c r="L270" s="95"/>
      <c r="M270" s="95"/>
      <c r="N270" s="95"/>
      <c r="O270" s="95"/>
      <c r="P270" s="95"/>
      <c r="Q270" s="95"/>
      <c r="R270" s="95"/>
      <c r="S270" s="95"/>
      <c r="T270" s="95"/>
      <c r="U270" s="95"/>
      <c r="V270" s="95"/>
      <c r="W270" s="95"/>
      <c r="X270" s="95"/>
      <c r="Y270" s="95"/>
      <c r="Z270" s="95"/>
      <c r="AA270" s="95"/>
      <c r="AB270" s="95"/>
      <c r="AC270" s="95"/>
      <c r="AD270" s="95"/>
      <c r="AE270" s="95"/>
      <c r="AF270" s="95"/>
      <c r="AG270" s="95"/>
      <c r="AH270" s="95"/>
      <c r="AI270" s="95"/>
      <c r="AJ270" s="95"/>
      <c r="AK270" s="95"/>
      <c r="AL270" s="95"/>
      <c r="AM270" s="95"/>
      <c r="AN270" s="95"/>
      <c r="AO270" s="95"/>
      <c r="AP270" s="95"/>
      <c r="AQ270" s="95"/>
      <c r="AR270" s="95"/>
      <c r="AS270" s="95"/>
      <c r="AT270" s="95"/>
      <c r="AU270" s="95"/>
      <c r="AV270" s="95"/>
      <c r="AW270" s="95"/>
      <c r="AX270" s="95"/>
      <c r="AY270" s="95"/>
      <c r="AZ270" s="95"/>
      <c r="BA270" s="95"/>
      <c r="BB270" s="95"/>
      <c r="BC270" s="95"/>
      <c r="BD270" s="95"/>
      <c r="BE270" s="95"/>
      <c r="BF270" s="95"/>
      <c r="BG270" s="95"/>
      <c r="BH270" s="95"/>
      <c r="BI270" s="95"/>
      <c r="BJ270" s="95"/>
      <c r="BK270" s="95"/>
      <c r="BL270" s="95"/>
      <c r="BM270" s="95"/>
    </row>
    <row r="271" spans="1:65" s="187" customFormat="1">
      <c r="A271" s="130"/>
      <c r="B271" s="191" t="s">
        <v>168</v>
      </c>
      <c r="C271" s="128" t="s">
        <v>54</v>
      </c>
      <c r="D271" s="173">
        <v>4.5</v>
      </c>
      <c r="E271" s="186"/>
      <c r="F271" s="186">
        <f t="shared" si="7"/>
        <v>0</v>
      </c>
      <c r="G271" s="126"/>
      <c r="H271" s="95"/>
      <c r="I271" s="95"/>
      <c r="J271" s="95"/>
      <c r="K271" s="95"/>
      <c r="L271" s="95"/>
      <c r="M271" s="95"/>
      <c r="N271" s="95"/>
      <c r="O271" s="95"/>
      <c r="P271" s="95"/>
      <c r="Q271" s="95"/>
      <c r="R271" s="95"/>
      <c r="S271" s="95"/>
      <c r="T271" s="95"/>
      <c r="U271" s="95"/>
      <c r="V271" s="95"/>
      <c r="W271" s="95"/>
      <c r="X271" s="95"/>
      <c r="Y271" s="95"/>
      <c r="Z271" s="95"/>
      <c r="AA271" s="95"/>
      <c r="AB271" s="95"/>
      <c r="AC271" s="95"/>
      <c r="AD271" s="95"/>
      <c r="AE271" s="95"/>
      <c r="AF271" s="95"/>
      <c r="AG271" s="95"/>
      <c r="AH271" s="95"/>
      <c r="AI271" s="95"/>
      <c r="AJ271" s="95"/>
      <c r="AK271" s="95"/>
      <c r="AL271" s="95"/>
      <c r="AM271" s="95"/>
      <c r="AN271" s="95"/>
      <c r="AO271" s="95"/>
      <c r="AP271" s="95"/>
      <c r="AQ271" s="95"/>
      <c r="AR271" s="95"/>
      <c r="AS271" s="95"/>
      <c r="AT271" s="95"/>
      <c r="AU271" s="95"/>
      <c r="AV271" s="95"/>
      <c r="AW271" s="95"/>
      <c r="AX271" s="95"/>
      <c r="AY271" s="95"/>
      <c r="AZ271" s="95"/>
      <c r="BA271" s="95"/>
      <c r="BB271" s="95"/>
      <c r="BC271" s="95"/>
      <c r="BD271" s="95"/>
      <c r="BE271" s="95"/>
      <c r="BF271" s="95"/>
      <c r="BG271" s="95"/>
      <c r="BH271" s="95"/>
      <c r="BI271" s="95"/>
      <c r="BJ271" s="95"/>
      <c r="BK271" s="95"/>
      <c r="BL271" s="95"/>
      <c r="BM271" s="95"/>
    </row>
    <row r="272" spans="1:65" s="187" customFormat="1" ht="14.5">
      <c r="A272" s="130"/>
      <c r="B272" s="191" t="s">
        <v>147</v>
      </c>
      <c r="C272" s="128" t="s">
        <v>348</v>
      </c>
      <c r="D272" s="173">
        <f>1*0.5</f>
        <v>0.5</v>
      </c>
      <c r="E272" s="186"/>
      <c r="F272" s="186">
        <f t="shared" si="7"/>
        <v>0</v>
      </c>
      <c r="G272" s="126"/>
      <c r="H272" s="95"/>
      <c r="I272" s="95"/>
      <c r="J272" s="95"/>
      <c r="K272" s="95"/>
      <c r="L272" s="95"/>
      <c r="M272" s="95"/>
      <c r="N272" s="95"/>
      <c r="O272" s="95"/>
      <c r="P272" s="95"/>
      <c r="Q272" s="95"/>
      <c r="R272" s="95"/>
      <c r="S272" s="95"/>
      <c r="T272" s="95"/>
      <c r="U272" s="95"/>
      <c r="V272" s="95"/>
      <c r="W272" s="95"/>
      <c r="X272" s="95"/>
      <c r="Y272" s="95"/>
      <c r="Z272" s="95"/>
      <c r="AA272" s="95"/>
      <c r="AB272" s="95"/>
      <c r="AC272" s="95"/>
      <c r="AD272" s="95"/>
      <c r="AE272" s="95"/>
      <c r="AF272" s="95"/>
      <c r="AG272" s="95"/>
      <c r="AH272" s="95"/>
      <c r="AI272" s="95"/>
      <c r="AJ272" s="95"/>
      <c r="AK272" s="95"/>
      <c r="AL272" s="95"/>
      <c r="AM272" s="95"/>
      <c r="AN272" s="95"/>
      <c r="AO272" s="95"/>
      <c r="AP272" s="95"/>
      <c r="AQ272" s="95"/>
      <c r="AR272" s="95"/>
      <c r="AS272" s="95"/>
      <c r="AT272" s="95"/>
      <c r="AU272" s="95"/>
      <c r="AV272" s="95"/>
      <c r="AW272" s="95"/>
      <c r="AX272" s="95"/>
      <c r="AY272" s="95"/>
      <c r="AZ272" s="95"/>
      <c r="BA272" s="95"/>
      <c r="BB272" s="95"/>
      <c r="BC272" s="95"/>
      <c r="BD272" s="95"/>
      <c r="BE272" s="95"/>
      <c r="BF272" s="95"/>
      <c r="BG272" s="95"/>
      <c r="BH272" s="95"/>
      <c r="BI272" s="95"/>
      <c r="BJ272" s="95"/>
      <c r="BK272" s="95"/>
      <c r="BL272" s="95"/>
      <c r="BM272" s="95"/>
    </row>
    <row r="273" spans="1:6" ht="14.5">
      <c r="A273" s="130"/>
      <c r="B273" s="191" t="s">
        <v>169</v>
      </c>
      <c r="C273" s="128" t="s">
        <v>348</v>
      </c>
      <c r="D273" s="131">
        <f>3*(4.5*4)</f>
        <v>54</v>
      </c>
      <c r="E273" s="186"/>
      <c r="F273" s="186">
        <f t="shared" si="7"/>
        <v>0</v>
      </c>
    </row>
    <row r="274" spans="1:6">
      <c r="A274" s="130"/>
      <c r="B274" s="191"/>
      <c r="C274" s="128"/>
      <c r="D274" s="131"/>
      <c r="E274" s="186"/>
      <c r="F274" s="186"/>
    </row>
    <row r="275" spans="1:6" ht="13">
      <c r="A275" s="130"/>
      <c r="B275" s="192" t="s">
        <v>170</v>
      </c>
      <c r="C275" s="128"/>
      <c r="D275" s="173"/>
      <c r="E275" s="186"/>
      <c r="F275" s="186">
        <f t="shared" si="7"/>
        <v>0</v>
      </c>
    </row>
    <row r="276" spans="1:6" ht="25">
      <c r="A276" s="130"/>
      <c r="B276" s="252" t="s">
        <v>143</v>
      </c>
      <c r="C276" s="128" t="s">
        <v>348</v>
      </c>
      <c r="D276" s="131">
        <f>5.5*4*2.5</f>
        <v>55</v>
      </c>
      <c r="E276" s="186"/>
      <c r="F276" s="186">
        <f t="shared" si="7"/>
        <v>0</v>
      </c>
    </row>
    <row r="277" spans="1:6" ht="14.5">
      <c r="A277" s="130"/>
      <c r="B277" s="252" t="s">
        <v>162</v>
      </c>
      <c r="C277" s="128" t="s">
        <v>348</v>
      </c>
      <c r="D277" s="131">
        <f>5.5*4</f>
        <v>22</v>
      </c>
      <c r="E277" s="186"/>
      <c r="F277" s="186">
        <f t="shared" si="7"/>
        <v>0</v>
      </c>
    </row>
    <row r="278" spans="1:6">
      <c r="A278" s="130"/>
      <c r="B278" s="191" t="s">
        <v>163</v>
      </c>
      <c r="C278" s="130" t="s">
        <v>54</v>
      </c>
      <c r="D278" s="131">
        <v>15</v>
      </c>
      <c r="E278" s="186"/>
      <c r="F278" s="186">
        <f t="shared" si="7"/>
        <v>0</v>
      </c>
    </row>
    <row r="279" spans="1:6">
      <c r="A279" s="130"/>
      <c r="B279" s="191" t="s">
        <v>164</v>
      </c>
      <c r="C279" s="128" t="s">
        <v>141</v>
      </c>
      <c r="D279" s="173">
        <v>2</v>
      </c>
      <c r="E279" s="186"/>
      <c r="F279" s="186">
        <f t="shared" si="7"/>
        <v>0</v>
      </c>
    </row>
    <row r="280" spans="1:6">
      <c r="A280" s="130"/>
      <c r="B280" s="191" t="s">
        <v>168</v>
      </c>
      <c r="C280" s="128" t="s">
        <v>54</v>
      </c>
      <c r="D280" s="173">
        <f xml:space="preserve"> (5.5+4)</f>
        <v>9.5</v>
      </c>
      <c r="E280" s="186"/>
      <c r="F280" s="186">
        <f t="shared" si="7"/>
        <v>0</v>
      </c>
    </row>
    <row r="281" spans="1:6" ht="14.5">
      <c r="A281" s="130"/>
      <c r="B281" s="191" t="s">
        <v>169</v>
      </c>
      <c r="C281" s="128" t="s">
        <v>348</v>
      </c>
      <c r="D281" s="131">
        <f>5.5*4</f>
        <v>22</v>
      </c>
      <c r="E281" s="186"/>
      <c r="F281" s="186">
        <f t="shared" si="7"/>
        <v>0</v>
      </c>
    </row>
    <row r="282" spans="1:6">
      <c r="A282" s="130"/>
      <c r="B282" s="191"/>
      <c r="C282" s="128"/>
      <c r="D282" s="131"/>
      <c r="E282" s="186"/>
      <c r="F282" s="186"/>
    </row>
    <row r="283" spans="1:6" ht="13">
      <c r="A283" s="130"/>
      <c r="B283" s="192" t="s">
        <v>171</v>
      </c>
      <c r="C283" s="128"/>
      <c r="D283" s="131"/>
      <c r="E283" s="186"/>
      <c r="F283" s="186">
        <f t="shared" si="7"/>
        <v>0</v>
      </c>
    </row>
    <row r="284" spans="1:6" ht="25">
      <c r="A284" s="130"/>
      <c r="B284" s="252" t="s">
        <v>143</v>
      </c>
      <c r="C284" s="128" t="s">
        <v>348</v>
      </c>
      <c r="D284" s="131">
        <f>(1*1.5*2.5)+(2*2.5*2.5)</f>
        <v>16.25</v>
      </c>
      <c r="E284" s="186"/>
      <c r="F284" s="186">
        <f t="shared" si="7"/>
        <v>0</v>
      </c>
    </row>
    <row r="285" spans="1:6" ht="14.5">
      <c r="A285" s="130"/>
      <c r="B285" s="252" t="s">
        <v>162</v>
      </c>
      <c r="C285" s="128" t="s">
        <v>348</v>
      </c>
      <c r="D285" s="131">
        <f>(1*1.5)+(2*2.5)</f>
        <v>6.5</v>
      </c>
      <c r="E285" s="186"/>
      <c r="F285" s="186">
        <f t="shared" si="7"/>
        <v>0</v>
      </c>
    </row>
    <row r="286" spans="1:6" ht="14.5">
      <c r="A286" s="130"/>
      <c r="B286" s="191" t="s">
        <v>350</v>
      </c>
      <c r="C286" s="128" t="s">
        <v>348</v>
      </c>
      <c r="D286" s="131">
        <f>(1*1.5)+(2*2.5)</f>
        <v>6.5</v>
      </c>
      <c r="E286" s="186"/>
      <c r="F286" s="186">
        <f t="shared" si="7"/>
        <v>0</v>
      </c>
    </row>
    <row r="287" spans="1:6">
      <c r="A287" s="130"/>
      <c r="B287" s="191" t="s">
        <v>172</v>
      </c>
      <c r="C287" s="128" t="s">
        <v>141</v>
      </c>
      <c r="D287" s="173">
        <v>1</v>
      </c>
      <c r="E287" s="186"/>
      <c r="F287" s="186">
        <f t="shared" si="7"/>
        <v>0</v>
      </c>
    </row>
    <row r="288" spans="1:6">
      <c r="A288" s="130"/>
      <c r="B288" s="191"/>
      <c r="C288" s="128"/>
      <c r="D288" s="173"/>
      <c r="E288" s="186"/>
      <c r="F288" s="186"/>
    </row>
    <row r="289" spans="1:6" ht="13">
      <c r="A289" s="130"/>
      <c r="B289" s="192" t="s">
        <v>173</v>
      </c>
      <c r="C289" s="128"/>
      <c r="D289" s="131"/>
      <c r="E289" s="186"/>
      <c r="F289" s="186">
        <f t="shared" si="7"/>
        <v>0</v>
      </c>
    </row>
    <row r="290" spans="1:6" ht="25">
      <c r="A290" s="130"/>
      <c r="B290" s="252" t="s">
        <v>143</v>
      </c>
      <c r="C290" s="128" t="s">
        <v>351</v>
      </c>
      <c r="D290" s="131">
        <f>11*4.5*2.5</f>
        <v>123.75</v>
      </c>
      <c r="E290" s="186"/>
      <c r="F290" s="186">
        <f t="shared" si="7"/>
        <v>0</v>
      </c>
    </row>
    <row r="291" spans="1:6" ht="14.5">
      <c r="A291" s="130"/>
      <c r="B291" s="252" t="s">
        <v>144</v>
      </c>
      <c r="C291" s="128" t="s">
        <v>348</v>
      </c>
      <c r="D291" s="131">
        <f>11*4.5</f>
        <v>49.5</v>
      </c>
      <c r="E291" s="186"/>
      <c r="F291" s="186">
        <f t="shared" si="7"/>
        <v>0</v>
      </c>
    </row>
    <row r="292" spans="1:6">
      <c r="A292" s="130"/>
      <c r="B292" s="191" t="s">
        <v>167</v>
      </c>
      <c r="C292" s="128" t="s">
        <v>141</v>
      </c>
      <c r="D292" s="173">
        <v>3</v>
      </c>
      <c r="E292" s="186"/>
      <c r="F292" s="186">
        <f t="shared" ref="F292:F355" si="8">D292*E292</f>
        <v>0</v>
      </c>
    </row>
    <row r="293" spans="1:6" ht="14.5">
      <c r="A293" s="130"/>
      <c r="B293" s="191" t="s">
        <v>169</v>
      </c>
      <c r="C293" s="128" t="s">
        <v>348</v>
      </c>
      <c r="D293" s="131">
        <f>11*4.5</f>
        <v>49.5</v>
      </c>
      <c r="E293" s="186"/>
      <c r="F293" s="186">
        <f t="shared" si="8"/>
        <v>0</v>
      </c>
    </row>
    <row r="294" spans="1:6">
      <c r="A294" s="130"/>
      <c r="B294" s="191"/>
      <c r="C294" s="128"/>
      <c r="D294" s="131"/>
      <c r="E294" s="186"/>
      <c r="F294" s="186"/>
    </row>
    <row r="295" spans="1:6" ht="13">
      <c r="A295" s="130"/>
      <c r="B295" s="192" t="s">
        <v>174</v>
      </c>
      <c r="C295" s="128"/>
      <c r="D295" s="131"/>
      <c r="E295" s="186"/>
      <c r="F295" s="186">
        <f t="shared" si="8"/>
        <v>0</v>
      </c>
    </row>
    <row r="296" spans="1:6" ht="25">
      <c r="A296" s="130"/>
      <c r="B296" s="252" t="s">
        <v>143</v>
      </c>
      <c r="C296" s="128" t="s">
        <v>348</v>
      </c>
      <c r="D296" s="131">
        <f>2*(3.2*4*2.5)</f>
        <v>64</v>
      </c>
      <c r="E296" s="186"/>
      <c r="F296" s="186">
        <f t="shared" si="8"/>
        <v>0</v>
      </c>
    </row>
    <row r="297" spans="1:6" ht="14.5">
      <c r="A297" s="130"/>
      <c r="B297" s="252" t="s">
        <v>162</v>
      </c>
      <c r="C297" s="128" t="s">
        <v>348</v>
      </c>
      <c r="D297" s="131">
        <f>2*(3.2*4)</f>
        <v>25.6</v>
      </c>
      <c r="E297" s="186"/>
      <c r="F297" s="186">
        <f t="shared" si="8"/>
        <v>0</v>
      </c>
    </row>
    <row r="298" spans="1:6">
      <c r="A298" s="130"/>
      <c r="B298" s="191" t="s">
        <v>175</v>
      </c>
      <c r="C298" s="128" t="s">
        <v>141</v>
      </c>
      <c r="D298" s="173">
        <v>2</v>
      </c>
      <c r="E298" s="186"/>
      <c r="F298" s="186">
        <f t="shared" si="8"/>
        <v>0</v>
      </c>
    </row>
    <row r="299" spans="1:6" ht="14.5">
      <c r="A299" s="130"/>
      <c r="B299" s="191" t="s">
        <v>169</v>
      </c>
      <c r="C299" s="128" t="s">
        <v>348</v>
      </c>
      <c r="D299" s="131">
        <f>2*(3.2*4)</f>
        <v>25.6</v>
      </c>
      <c r="E299" s="186"/>
      <c r="F299" s="186">
        <f t="shared" si="8"/>
        <v>0</v>
      </c>
    </row>
    <row r="300" spans="1:6">
      <c r="A300" s="130"/>
      <c r="B300" s="191" t="s">
        <v>163</v>
      </c>
      <c r="C300" s="128" t="s">
        <v>54</v>
      </c>
      <c r="D300" s="173">
        <v>11</v>
      </c>
      <c r="E300" s="186"/>
      <c r="F300" s="186">
        <f t="shared" si="8"/>
        <v>0</v>
      </c>
    </row>
    <row r="301" spans="1:6">
      <c r="A301" s="130"/>
      <c r="B301" s="191" t="s">
        <v>176</v>
      </c>
      <c r="C301" s="128" t="s">
        <v>54</v>
      </c>
      <c r="D301" s="173">
        <v>3.2</v>
      </c>
      <c r="E301" s="186"/>
      <c r="F301" s="186">
        <f t="shared" si="8"/>
        <v>0</v>
      </c>
    </row>
    <row r="302" spans="1:6">
      <c r="A302" s="130"/>
      <c r="B302" s="191"/>
      <c r="C302" s="128"/>
      <c r="D302" s="128"/>
      <c r="E302" s="186"/>
      <c r="F302" s="186"/>
    </row>
    <row r="303" spans="1:6" ht="13">
      <c r="A303" s="130"/>
      <c r="B303" s="192" t="s">
        <v>177</v>
      </c>
      <c r="C303" s="128"/>
      <c r="D303" s="128"/>
      <c r="E303" s="186"/>
      <c r="F303" s="186">
        <f t="shared" si="8"/>
        <v>0</v>
      </c>
    </row>
    <row r="304" spans="1:6" ht="25">
      <c r="A304" s="130"/>
      <c r="B304" s="252" t="s">
        <v>143</v>
      </c>
      <c r="C304" s="128" t="s">
        <v>348</v>
      </c>
      <c r="D304" s="131">
        <f>31*1.2*2.5</f>
        <v>92.999999999999986</v>
      </c>
      <c r="E304" s="186"/>
      <c r="F304" s="186">
        <f t="shared" si="8"/>
        <v>0</v>
      </c>
    </row>
    <row r="305" spans="1:7" ht="14.5">
      <c r="A305" s="130"/>
      <c r="B305" s="252" t="s">
        <v>162</v>
      </c>
      <c r="C305" s="128" t="s">
        <v>348</v>
      </c>
      <c r="D305" s="131">
        <f>31*1.2</f>
        <v>37.199999999999996</v>
      </c>
      <c r="E305" s="186"/>
      <c r="F305" s="186">
        <f t="shared" si="8"/>
        <v>0</v>
      </c>
    </row>
    <row r="306" spans="1:7" ht="14.5">
      <c r="A306" s="130"/>
      <c r="B306" s="191" t="s">
        <v>178</v>
      </c>
      <c r="C306" s="128" t="s">
        <v>348</v>
      </c>
      <c r="D306" s="173">
        <v>20</v>
      </c>
      <c r="E306" s="186"/>
      <c r="F306" s="186">
        <f t="shared" si="8"/>
        <v>0</v>
      </c>
    </row>
    <row r="307" spans="1:7" ht="13" thickBot="1">
      <c r="A307" s="130"/>
      <c r="B307" s="198" t="s">
        <v>179</v>
      </c>
      <c r="C307" s="143" t="s">
        <v>141</v>
      </c>
      <c r="D307" s="117">
        <v>1</v>
      </c>
      <c r="E307" s="193"/>
      <c r="F307" s="193">
        <f t="shared" si="8"/>
        <v>0</v>
      </c>
    </row>
    <row r="308" spans="1:7" s="88" customFormat="1" ht="13.5" thickBot="1">
      <c r="A308" s="188"/>
      <c r="B308" s="298" t="s">
        <v>216</v>
      </c>
      <c r="C308" s="298"/>
      <c r="D308" s="298"/>
      <c r="E308" s="299"/>
      <c r="F308" s="124">
        <f>SUM(F220:F307)</f>
        <v>0</v>
      </c>
      <c r="G308" s="153"/>
    </row>
    <row r="309" spans="1:7">
      <c r="A309" s="130"/>
      <c r="B309" s="194"/>
      <c r="C309" s="113"/>
      <c r="D309" s="113"/>
      <c r="E309" s="185"/>
      <c r="F309" s="185"/>
    </row>
    <row r="310" spans="1:7" ht="13">
      <c r="A310" s="130"/>
      <c r="B310" s="251" t="s">
        <v>180</v>
      </c>
      <c r="C310" s="130"/>
      <c r="D310" s="131"/>
      <c r="E310" s="186"/>
      <c r="F310" s="186"/>
    </row>
    <row r="311" spans="1:7">
      <c r="A311" s="130"/>
      <c r="B311" s="252"/>
      <c r="C311" s="130"/>
      <c r="D311" s="131"/>
      <c r="E311" s="186"/>
      <c r="F311" s="186"/>
    </row>
    <row r="312" spans="1:7" ht="25">
      <c r="A312" s="130"/>
      <c r="B312" s="253" t="s">
        <v>181</v>
      </c>
      <c r="C312" s="128" t="s">
        <v>141</v>
      </c>
      <c r="D312" s="173">
        <v>4</v>
      </c>
      <c r="E312" s="186"/>
      <c r="F312" s="186">
        <f t="shared" si="8"/>
        <v>0</v>
      </c>
    </row>
    <row r="313" spans="1:7">
      <c r="A313" s="130"/>
      <c r="B313" s="253" t="s">
        <v>182</v>
      </c>
      <c r="C313" s="128" t="s">
        <v>141</v>
      </c>
      <c r="D313" s="173">
        <v>1</v>
      </c>
      <c r="E313" s="186"/>
      <c r="F313" s="186">
        <f t="shared" si="8"/>
        <v>0</v>
      </c>
    </row>
    <row r="314" spans="1:7">
      <c r="A314" s="130"/>
      <c r="B314" s="253" t="s">
        <v>183</v>
      </c>
      <c r="C314" s="128" t="s">
        <v>141</v>
      </c>
      <c r="D314" s="173">
        <v>1</v>
      </c>
      <c r="E314" s="186"/>
      <c r="F314" s="186">
        <f t="shared" si="8"/>
        <v>0</v>
      </c>
    </row>
    <row r="315" spans="1:7">
      <c r="A315" s="130"/>
      <c r="B315" s="253" t="s">
        <v>184</v>
      </c>
      <c r="C315" s="128" t="s">
        <v>141</v>
      </c>
      <c r="D315" s="173">
        <v>2</v>
      </c>
      <c r="E315" s="186"/>
      <c r="F315" s="186">
        <f t="shared" si="8"/>
        <v>0</v>
      </c>
    </row>
    <row r="316" spans="1:7">
      <c r="A316" s="130"/>
      <c r="B316" s="253" t="s">
        <v>185</v>
      </c>
      <c r="C316" s="128" t="s">
        <v>54</v>
      </c>
      <c r="D316" s="173">
        <v>5</v>
      </c>
      <c r="E316" s="186"/>
      <c r="F316" s="186">
        <f t="shared" si="8"/>
        <v>0</v>
      </c>
    </row>
    <row r="317" spans="1:7">
      <c r="A317" s="130"/>
      <c r="B317" s="253" t="s">
        <v>186</v>
      </c>
      <c r="C317" s="128" t="s">
        <v>141</v>
      </c>
      <c r="D317" s="173">
        <v>8</v>
      </c>
      <c r="E317" s="186"/>
      <c r="F317" s="186">
        <f t="shared" si="8"/>
        <v>0</v>
      </c>
    </row>
    <row r="318" spans="1:7" ht="25">
      <c r="A318" s="130"/>
      <c r="B318" s="253" t="s">
        <v>187</v>
      </c>
      <c r="C318" s="128" t="s">
        <v>13</v>
      </c>
      <c r="D318" s="173">
        <v>13</v>
      </c>
      <c r="E318" s="186"/>
      <c r="F318" s="186">
        <f t="shared" si="8"/>
        <v>0</v>
      </c>
    </row>
    <row r="319" spans="1:7" ht="14.5">
      <c r="A319" s="130"/>
      <c r="B319" s="254" t="s">
        <v>188</v>
      </c>
      <c r="C319" s="128" t="s">
        <v>348</v>
      </c>
      <c r="D319" s="176">
        <v>80</v>
      </c>
      <c r="E319" s="186"/>
      <c r="F319" s="186">
        <f t="shared" si="8"/>
        <v>0</v>
      </c>
    </row>
    <row r="320" spans="1:7">
      <c r="A320" s="130"/>
      <c r="B320" s="254" t="s">
        <v>189</v>
      </c>
      <c r="C320" s="143" t="s">
        <v>141</v>
      </c>
      <c r="D320" s="176">
        <v>4</v>
      </c>
      <c r="E320" s="186"/>
      <c r="F320" s="186">
        <f t="shared" si="8"/>
        <v>0</v>
      </c>
    </row>
    <row r="321" spans="1:7" ht="14.5">
      <c r="A321" s="130"/>
      <c r="B321" s="254" t="s">
        <v>190</v>
      </c>
      <c r="C321" s="128" t="s">
        <v>348</v>
      </c>
      <c r="D321" s="176">
        <v>2</v>
      </c>
      <c r="E321" s="186"/>
      <c r="F321" s="186">
        <f t="shared" si="8"/>
        <v>0</v>
      </c>
    </row>
    <row r="322" spans="1:7" ht="14.5">
      <c r="A322" s="130"/>
      <c r="B322" s="198" t="s">
        <v>191</v>
      </c>
      <c r="C322" s="128" t="s">
        <v>348</v>
      </c>
      <c r="D322" s="176">
        <f>4*(3.2*3)+(4.5*3.2)+(5*1.1)</f>
        <v>58.300000000000004</v>
      </c>
      <c r="E322" s="186"/>
      <c r="F322" s="186">
        <f t="shared" si="8"/>
        <v>0</v>
      </c>
    </row>
    <row r="323" spans="1:7" ht="14.5">
      <c r="A323" s="130"/>
      <c r="B323" s="191" t="s">
        <v>192</v>
      </c>
      <c r="C323" s="128" t="s">
        <v>348</v>
      </c>
      <c r="D323" s="131">
        <f>9*3.2</f>
        <v>28.8</v>
      </c>
      <c r="E323" s="186"/>
      <c r="F323" s="186">
        <f t="shared" si="8"/>
        <v>0</v>
      </c>
    </row>
    <row r="324" spans="1:7">
      <c r="A324" s="130"/>
      <c r="B324" s="191" t="s">
        <v>352</v>
      </c>
      <c r="C324" s="128" t="s">
        <v>54</v>
      </c>
      <c r="D324" s="131">
        <v>102</v>
      </c>
      <c r="E324" s="186"/>
      <c r="F324" s="186">
        <f t="shared" si="8"/>
        <v>0</v>
      </c>
    </row>
    <row r="325" spans="1:7">
      <c r="A325" s="130"/>
      <c r="B325" s="191" t="s">
        <v>193</v>
      </c>
      <c r="C325" s="128" t="s">
        <v>141</v>
      </c>
      <c r="D325" s="131">
        <v>4</v>
      </c>
      <c r="E325" s="186"/>
      <c r="F325" s="186">
        <f t="shared" si="8"/>
        <v>0</v>
      </c>
    </row>
    <row r="326" spans="1:7">
      <c r="A326" s="130"/>
      <c r="B326" s="191" t="s">
        <v>194</v>
      </c>
      <c r="C326" s="128" t="s">
        <v>141</v>
      </c>
      <c r="D326" s="131">
        <v>1</v>
      </c>
      <c r="E326" s="186"/>
      <c r="F326" s="186">
        <f t="shared" si="8"/>
        <v>0</v>
      </c>
    </row>
    <row r="327" spans="1:7">
      <c r="A327" s="130"/>
      <c r="B327" s="191"/>
      <c r="C327" s="128"/>
      <c r="D327" s="131"/>
      <c r="E327" s="186"/>
      <c r="F327" s="186">
        <f t="shared" si="8"/>
        <v>0</v>
      </c>
    </row>
    <row r="328" spans="1:7" ht="13">
      <c r="A328" s="130"/>
      <c r="B328" s="251" t="s">
        <v>195</v>
      </c>
      <c r="C328" s="128"/>
      <c r="D328" s="131"/>
      <c r="E328" s="186"/>
      <c r="F328" s="186">
        <f t="shared" si="8"/>
        <v>0</v>
      </c>
    </row>
    <row r="329" spans="1:7">
      <c r="A329" s="130"/>
      <c r="B329" s="191"/>
      <c r="C329" s="128"/>
      <c r="D329" s="131"/>
      <c r="E329" s="186"/>
      <c r="F329" s="186">
        <f t="shared" si="8"/>
        <v>0</v>
      </c>
    </row>
    <row r="330" spans="1:7">
      <c r="A330" s="130"/>
      <c r="B330" s="191" t="s">
        <v>196</v>
      </c>
      <c r="C330" s="128" t="s">
        <v>141</v>
      </c>
      <c r="D330" s="131">
        <v>4</v>
      </c>
      <c r="E330" s="186"/>
      <c r="F330" s="186">
        <f t="shared" si="8"/>
        <v>0</v>
      </c>
    </row>
    <row r="331" spans="1:7" ht="13" thickBot="1">
      <c r="A331" s="130"/>
      <c r="B331" s="254" t="s">
        <v>197</v>
      </c>
      <c r="C331" s="143" t="s">
        <v>58</v>
      </c>
      <c r="D331" s="176">
        <v>7</v>
      </c>
      <c r="E331" s="193"/>
      <c r="F331" s="193">
        <f t="shared" si="8"/>
        <v>0</v>
      </c>
    </row>
    <row r="332" spans="1:7" s="88" customFormat="1" ht="13.5" thickBot="1">
      <c r="A332" s="188"/>
      <c r="B332" s="298" t="s">
        <v>216</v>
      </c>
      <c r="C332" s="298"/>
      <c r="D332" s="298"/>
      <c r="E332" s="299"/>
      <c r="F332" s="124">
        <f>SUM(F312:F331)</f>
        <v>0</v>
      </c>
      <c r="G332" s="153"/>
    </row>
    <row r="333" spans="1:7">
      <c r="A333" s="130"/>
      <c r="B333" s="194"/>
      <c r="C333" s="113"/>
      <c r="D333" s="113"/>
      <c r="E333" s="185"/>
      <c r="F333" s="185"/>
    </row>
    <row r="334" spans="1:7" ht="13">
      <c r="A334" s="130"/>
      <c r="B334" s="251" t="s">
        <v>198</v>
      </c>
      <c r="C334" s="130"/>
      <c r="D334" s="131"/>
      <c r="E334" s="186"/>
      <c r="F334" s="186"/>
    </row>
    <row r="335" spans="1:7">
      <c r="A335" s="130"/>
      <c r="B335" s="191"/>
      <c r="C335" s="130"/>
      <c r="D335" s="131"/>
      <c r="E335" s="186"/>
      <c r="F335" s="186"/>
    </row>
    <row r="336" spans="1:7" ht="13">
      <c r="A336" s="130"/>
      <c r="B336" s="192" t="s">
        <v>199</v>
      </c>
      <c r="C336" s="130"/>
      <c r="D336" s="131"/>
      <c r="E336" s="186"/>
      <c r="F336" s="186"/>
    </row>
    <row r="337" spans="1:7">
      <c r="A337" s="130"/>
      <c r="B337" s="191"/>
      <c r="C337" s="130"/>
      <c r="D337" s="131"/>
      <c r="E337" s="186"/>
      <c r="F337" s="186"/>
    </row>
    <row r="338" spans="1:7">
      <c r="A338" s="130"/>
      <c r="B338" s="195" t="s">
        <v>200</v>
      </c>
      <c r="C338" s="128" t="s">
        <v>141</v>
      </c>
      <c r="D338" s="131">
        <v>2</v>
      </c>
      <c r="E338" s="186"/>
      <c r="F338" s="186">
        <f t="shared" si="8"/>
        <v>0</v>
      </c>
    </row>
    <row r="339" spans="1:7">
      <c r="A339" s="130"/>
      <c r="B339" s="255" t="s">
        <v>201</v>
      </c>
      <c r="C339" s="130" t="s">
        <v>58</v>
      </c>
      <c r="D339" s="131">
        <v>1</v>
      </c>
      <c r="E339" s="186"/>
      <c r="F339" s="186">
        <f t="shared" si="8"/>
        <v>0</v>
      </c>
    </row>
    <row r="340" spans="1:7">
      <c r="A340" s="130"/>
      <c r="B340" s="195" t="s">
        <v>202</v>
      </c>
      <c r="C340" s="128" t="s">
        <v>141</v>
      </c>
      <c r="D340" s="131">
        <v>1</v>
      </c>
      <c r="E340" s="186"/>
      <c r="F340" s="186">
        <f t="shared" si="8"/>
        <v>0</v>
      </c>
    </row>
    <row r="341" spans="1:7">
      <c r="A341" s="130"/>
      <c r="B341" s="195" t="s">
        <v>203</v>
      </c>
      <c r="C341" s="128" t="s">
        <v>141</v>
      </c>
      <c r="D341" s="131">
        <v>6</v>
      </c>
      <c r="E341" s="186"/>
      <c r="F341" s="186">
        <f t="shared" si="8"/>
        <v>0</v>
      </c>
    </row>
    <row r="342" spans="1:7" ht="13" thickBot="1">
      <c r="A342" s="130"/>
      <c r="B342" s="196" t="s">
        <v>204</v>
      </c>
      <c r="C342" s="143" t="s">
        <v>141</v>
      </c>
      <c r="D342" s="117">
        <v>4</v>
      </c>
      <c r="E342" s="193"/>
      <c r="F342" s="193">
        <f t="shared" si="8"/>
        <v>0</v>
      </c>
    </row>
    <row r="343" spans="1:7" s="88" customFormat="1" ht="17.5" customHeight="1" thickBot="1">
      <c r="A343" s="188"/>
      <c r="B343" s="304" t="s">
        <v>216</v>
      </c>
      <c r="C343" s="304"/>
      <c r="D343" s="304"/>
      <c r="E343" s="305"/>
      <c r="F343" s="124">
        <f>SUM(F338:F342)</f>
        <v>0</v>
      </c>
      <c r="G343" s="153"/>
    </row>
    <row r="344" spans="1:7">
      <c r="A344" s="130"/>
      <c r="B344" s="194"/>
      <c r="C344" s="113"/>
      <c r="D344" s="113"/>
      <c r="E344" s="185"/>
      <c r="F344" s="185"/>
    </row>
    <row r="345" spans="1:7" ht="18" customHeight="1">
      <c r="A345" s="130"/>
      <c r="B345" s="197" t="s">
        <v>205</v>
      </c>
      <c r="C345" s="130"/>
      <c r="D345" s="131"/>
      <c r="E345" s="186"/>
      <c r="F345" s="186"/>
    </row>
    <row r="346" spans="1:7">
      <c r="A346" s="130"/>
      <c r="B346" s="191" t="s">
        <v>206</v>
      </c>
      <c r="C346" s="130" t="s">
        <v>54</v>
      </c>
      <c r="D346" s="131">
        <v>50</v>
      </c>
      <c r="E346" s="186"/>
      <c r="F346" s="186">
        <f t="shared" si="8"/>
        <v>0</v>
      </c>
    </row>
    <row r="347" spans="1:7">
      <c r="A347" s="130"/>
      <c r="B347" s="191" t="s">
        <v>207</v>
      </c>
      <c r="C347" s="130" t="s">
        <v>141</v>
      </c>
      <c r="D347" s="131">
        <v>10</v>
      </c>
      <c r="E347" s="186"/>
      <c r="F347" s="186">
        <f t="shared" si="8"/>
        <v>0</v>
      </c>
    </row>
    <row r="348" spans="1:7">
      <c r="A348" s="130"/>
      <c r="B348" s="191" t="s">
        <v>208</v>
      </c>
      <c r="C348" s="130" t="s">
        <v>141</v>
      </c>
      <c r="D348" s="131">
        <v>12</v>
      </c>
      <c r="E348" s="186"/>
      <c r="F348" s="186">
        <f t="shared" si="8"/>
        <v>0</v>
      </c>
    </row>
    <row r="349" spans="1:7">
      <c r="A349" s="130"/>
      <c r="B349" s="191" t="s">
        <v>209</v>
      </c>
      <c r="C349" s="130" t="s">
        <v>141</v>
      </c>
      <c r="D349" s="131">
        <v>20</v>
      </c>
      <c r="E349" s="186"/>
      <c r="F349" s="186">
        <f t="shared" si="8"/>
        <v>0</v>
      </c>
    </row>
    <row r="350" spans="1:7">
      <c r="A350" s="130"/>
      <c r="B350" s="191" t="s">
        <v>210</v>
      </c>
      <c r="C350" s="130" t="s">
        <v>141</v>
      </c>
      <c r="D350" s="131">
        <v>4</v>
      </c>
      <c r="E350" s="186"/>
      <c r="F350" s="186">
        <f t="shared" si="8"/>
        <v>0</v>
      </c>
    </row>
    <row r="351" spans="1:7">
      <c r="A351" s="130"/>
      <c r="B351" s="191" t="s">
        <v>211</v>
      </c>
      <c r="C351" s="130" t="s">
        <v>141</v>
      </c>
      <c r="D351" s="131">
        <v>4</v>
      </c>
      <c r="E351" s="186"/>
      <c r="F351" s="186">
        <f t="shared" si="8"/>
        <v>0</v>
      </c>
    </row>
    <row r="352" spans="1:7">
      <c r="A352" s="130"/>
      <c r="B352" s="191" t="s">
        <v>212</v>
      </c>
      <c r="C352" s="130" t="s">
        <v>141</v>
      </c>
      <c r="D352" s="131">
        <v>4</v>
      </c>
      <c r="E352" s="186"/>
      <c r="F352" s="186">
        <f t="shared" si="8"/>
        <v>0</v>
      </c>
    </row>
    <row r="353" spans="1:7">
      <c r="A353" s="130"/>
      <c r="B353" s="191" t="s">
        <v>213</v>
      </c>
      <c r="C353" s="130" t="s">
        <v>58</v>
      </c>
      <c r="D353" s="131">
        <v>1</v>
      </c>
      <c r="E353" s="186"/>
      <c r="F353" s="186">
        <f t="shared" si="8"/>
        <v>0</v>
      </c>
    </row>
    <row r="354" spans="1:7">
      <c r="A354" s="130"/>
      <c r="B354" s="191" t="s">
        <v>214</v>
      </c>
      <c r="C354" s="130" t="s">
        <v>58</v>
      </c>
      <c r="D354" s="131">
        <v>50</v>
      </c>
      <c r="E354" s="186"/>
      <c r="F354" s="186">
        <f t="shared" si="8"/>
        <v>0</v>
      </c>
    </row>
    <row r="355" spans="1:7" ht="13" thickBot="1">
      <c r="A355" s="130"/>
      <c r="B355" s="198" t="s">
        <v>215</v>
      </c>
      <c r="C355" s="116" t="s">
        <v>58</v>
      </c>
      <c r="D355" s="117">
        <v>1</v>
      </c>
      <c r="E355" s="193"/>
      <c r="F355" s="193">
        <f t="shared" si="8"/>
        <v>0</v>
      </c>
    </row>
    <row r="356" spans="1:7" s="88" customFormat="1" ht="13.5" thickBot="1">
      <c r="A356" s="188"/>
      <c r="B356" s="298" t="s">
        <v>216</v>
      </c>
      <c r="C356" s="298"/>
      <c r="D356" s="298"/>
      <c r="E356" s="299"/>
      <c r="F356" s="86">
        <f>SUM(F346:F355)</f>
        <v>0</v>
      </c>
      <c r="G356" s="153"/>
    </row>
    <row r="357" spans="1:7" ht="23.5" customHeight="1" thickBot="1">
      <c r="A357" s="130"/>
      <c r="B357" s="298" t="s">
        <v>221</v>
      </c>
      <c r="C357" s="298"/>
      <c r="D357" s="298"/>
      <c r="E357" s="303"/>
      <c r="F357" s="199">
        <f>F356+F343+F332+F308</f>
        <v>0</v>
      </c>
    </row>
    <row r="358" spans="1:7" ht="13" thickBot="1"/>
    <row r="359" spans="1:7" ht="23" customHeight="1" thickBot="1">
      <c r="A359" s="300" t="s">
        <v>222</v>
      </c>
      <c r="B359" s="301"/>
      <c r="C359" s="301"/>
      <c r="D359" s="301"/>
      <c r="E359" s="301"/>
      <c r="F359" s="302"/>
    </row>
    <row r="360" spans="1:7" ht="13.5" thickBot="1">
      <c r="A360" s="81" t="s">
        <v>25</v>
      </c>
      <c r="B360" s="82" t="s">
        <v>3</v>
      </c>
      <c r="C360" s="83" t="s">
        <v>26</v>
      </c>
      <c r="D360" s="84" t="s">
        <v>27</v>
      </c>
      <c r="E360" s="85" t="s">
        <v>28</v>
      </c>
      <c r="F360" s="86" t="s">
        <v>29</v>
      </c>
    </row>
    <row r="362" spans="1:7" ht="13">
      <c r="A362" s="130"/>
      <c r="B362" s="256" t="s">
        <v>31</v>
      </c>
      <c r="C362" s="257"/>
      <c r="D362" s="257"/>
      <c r="E362" s="186"/>
      <c r="F362" s="186"/>
    </row>
    <row r="363" spans="1:7" ht="13">
      <c r="A363" s="130"/>
      <c r="B363" s="256"/>
      <c r="C363" s="257"/>
      <c r="D363" s="257"/>
      <c r="E363" s="186"/>
      <c r="F363" s="186"/>
    </row>
    <row r="364" spans="1:7" ht="13">
      <c r="A364" s="130"/>
      <c r="B364" s="258" t="s">
        <v>32</v>
      </c>
      <c r="C364" s="257"/>
      <c r="D364" s="257"/>
      <c r="E364" s="186"/>
      <c r="F364" s="186"/>
    </row>
    <row r="365" spans="1:7" ht="13">
      <c r="A365" s="130"/>
      <c r="B365" s="258"/>
      <c r="C365" s="257"/>
      <c r="D365" s="257"/>
      <c r="E365" s="186"/>
      <c r="F365" s="186"/>
    </row>
    <row r="366" spans="1:7" ht="13">
      <c r="A366" s="130"/>
      <c r="B366" s="258" t="s">
        <v>33</v>
      </c>
      <c r="C366" s="257"/>
      <c r="D366" s="257"/>
      <c r="E366" s="186"/>
      <c r="F366" s="186"/>
    </row>
    <row r="367" spans="1:7" ht="13">
      <c r="A367" s="130"/>
      <c r="B367" s="259"/>
      <c r="C367" s="257"/>
      <c r="D367" s="257"/>
      <c r="E367" s="186"/>
      <c r="F367" s="186"/>
    </row>
    <row r="368" spans="1:7" ht="87.5">
      <c r="A368" s="130"/>
      <c r="B368" s="260" t="s">
        <v>34</v>
      </c>
      <c r="C368" s="257"/>
      <c r="D368" s="257"/>
      <c r="E368" s="186"/>
      <c r="F368" s="186"/>
    </row>
    <row r="369" spans="1:6" ht="13">
      <c r="A369" s="130"/>
      <c r="B369" s="261"/>
      <c r="C369" s="257"/>
      <c r="D369" s="257"/>
      <c r="E369" s="186"/>
      <c r="F369" s="186"/>
    </row>
    <row r="370" spans="1:6" ht="13">
      <c r="A370" s="130"/>
      <c r="B370" s="258" t="s">
        <v>35</v>
      </c>
      <c r="C370" s="257"/>
      <c r="D370" s="257"/>
      <c r="E370" s="186"/>
      <c r="F370" s="186"/>
    </row>
    <row r="371" spans="1:6" ht="13">
      <c r="A371" s="130"/>
      <c r="B371" s="259"/>
      <c r="C371" s="257"/>
      <c r="D371" s="257"/>
      <c r="E371" s="186"/>
      <c r="F371" s="186"/>
    </row>
    <row r="372" spans="1:6" ht="62.5">
      <c r="A372" s="130"/>
      <c r="B372" s="260" t="s">
        <v>36</v>
      </c>
      <c r="C372" s="257"/>
      <c r="D372" s="257"/>
      <c r="E372" s="186"/>
      <c r="F372" s="186"/>
    </row>
    <row r="373" spans="1:6" ht="13">
      <c r="A373" s="130"/>
      <c r="B373" s="260"/>
      <c r="C373" s="257"/>
      <c r="D373" s="257"/>
      <c r="E373" s="186"/>
      <c r="F373" s="186"/>
    </row>
    <row r="374" spans="1:6" ht="37.5">
      <c r="A374" s="130"/>
      <c r="B374" s="260" t="s">
        <v>37</v>
      </c>
      <c r="C374" s="257"/>
      <c r="D374" s="257"/>
      <c r="E374" s="186"/>
      <c r="F374" s="186"/>
    </row>
    <row r="375" spans="1:6" ht="13">
      <c r="A375" s="130"/>
      <c r="B375" s="260"/>
      <c r="C375" s="257"/>
      <c r="D375" s="257"/>
      <c r="E375" s="186"/>
      <c r="F375" s="186"/>
    </row>
    <row r="376" spans="1:6" ht="75">
      <c r="A376" s="130"/>
      <c r="B376" s="260" t="s">
        <v>38</v>
      </c>
      <c r="C376" s="257"/>
      <c r="D376" s="257"/>
      <c r="E376" s="186"/>
      <c r="F376" s="186"/>
    </row>
    <row r="377" spans="1:6" ht="13">
      <c r="A377" s="130"/>
      <c r="B377" s="261"/>
      <c r="C377" s="257"/>
      <c r="D377" s="257"/>
      <c r="E377" s="186"/>
      <c r="F377" s="186"/>
    </row>
    <row r="378" spans="1:6" ht="25">
      <c r="A378" s="130"/>
      <c r="B378" s="260" t="s">
        <v>39</v>
      </c>
      <c r="C378" s="257"/>
      <c r="D378" s="257"/>
      <c r="E378" s="186"/>
      <c r="F378" s="186"/>
    </row>
    <row r="379" spans="1:6" ht="13">
      <c r="A379" s="130"/>
      <c r="B379" s="260"/>
      <c r="C379" s="257"/>
      <c r="D379" s="257"/>
      <c r="E379" s="186"/>
      <c r="F379" s="186"/>
    </row>
    <row r="380" spans="1:6" ht="25">
      <c r="A380" s="130"/>
      <c r="B380" s="260" t="s">
        <v>40</v>
      </c>
      <c r="C380" s="257"/>
      <c r="D380" s="257"/>
      <c r="E380" s="186"/>
      <c r="F380" s="186"/>
    </row>
    <row r="381" spans="1:6" ht="13">
      <c r="A381" s="130"/>
      <c r="B381" s="260"/>
      <c r="C381" s="257"/>
      <c r="D381" s="257"/>
      <c r="E381" s="186"/>
      <c r="F381" s="186"/>
    </row>
    <row r="382" spans="1:6" ht="25">
      <c r="A382" s="130"/>
      <c r="B382" s="260" t="s">
        <v>41</v>
      </c>
      <c r="C382" s="257"/>
      <c r="D382" s="257"/>
      <c r="E382" s="186"/>
      <c r="F382" s="186"/>
    </row>
    <row r="383" spans="1:6" ht="13">
      <c r="A383" s="130"/>
      <c r="B383" s="261"/>
      <c r="C383" s="257"/>
      <c r="D383" s="257"/>
      <c r="E383" s="186"/>
      <c r="F383" s="186"/>
    </row>
    <row r="384" spans="1:6" ht="13">
      <c r="A384" s="130"/>
      <c r="B384" s="258" t="s">
        <v>42</v>
      </c>
      <c r="C384" s="257"/>
      <c r="D384" s="257"/>
      <c r="E384" s="186"/>
      <c r="F384" s="186"/>
    </row>
    <row r="385" spans="1:6" ht="13">
      <c r="A385" s="130"/>
      <c r="B385" s="259"/>
      <c r="C385" s="257"/>
      <c r="D385" s="257"/>
      <c r="E385" s="186"/>
      <c r="F385" s="186"/>
    </row>
    <row r="386" spans="1:6" ht="63">
      <c r="A386" s="130"/>
      <c r="B386" s="259" t="s">
        <v>43</v>
      </c>
      <c r="C386" s="257"/>
      <c r="D386" s="257"/>
      <c r="E386" s="186"/>
      <c r="F386" s="186"/>
    </row>
    <row r="387" spans="1:6" ht="13">
      <c r="A387" s="130"/>
      <c r="B387" s="259"/>
      <c r="C387" s="257"/>
      <c r="D387" s="257"/>
      <c r="E387" s="186"/>
      <c r="F387" s="186"/>
    </row>
    <row r="388" spans="1:6" ht="13">
      <c r="A388" s="130"/>
      <c r="B388" s="258" t="s">
        <v>44</v>
      </c>
      <c r="C388" s="257"/>
      <c r="D388" s="257"/>
      <c r="E388" s="186"/>
      <c r="F388" s="186"/>
    </row>
    <row r="389" spans="1:6" ht="13">
      <c r="A389" s="130"/>
      <c r="B389" s="259"/>
      <c r="C389" s="257"/>
      <c r="D389" s="257"/>
      <c r="E389" s="186"/>
      <c r="F389" s="186"/>
    </row>
    <row r="390" spans="1:6" ht="100">
      <c r="A390" s="130"/>
      <c r="B390" s="260" t="s">
        <v>45</v>
      </c>
      <c r="C390" s="257"/>
      <c r="D390" s="257"/>
      <c r="E390" s="186"/>
      <c r="F390" s="186"/>
    </row>
    <row r="391" spans="1:6" ht="13">
      <c r="A391" s="130"/>
      <c r="B391" s="261"/>
      <c r="C391" s="257"/>
      <c r="D391" s="257"/>
      <c r="E391" s="186"/>
      <c r="F391" s="186"/>
    </row>
    <row r="392" spans="1:6" ht="13">
      <c r="A392" s="130"/>
      <c r="B392" s="258" t="s">
        <v>46</v>
      </c>
      <c r="C392" s="257"/>
      <c r="D392" s="257"/>
      <c r="E392" s="186"/>
      <c r="F392" s="186"/>
    </row>
    <row r="393" spans="1:6" ht="13">
      <c r="A393" s="130"/>
      <c r="B393" s="259"/>
      <c r="C393" s="257"/>
      <c r="D393" s="257"/>
      <c r="E393" s="186"/>
      <c r="F393" s="186"/>
    </row>
    <row r="394" spans="1:6" ht="113">
      <c r="A394" s="130"/>
      <c r="B394" s="259" t="s">
        <v>47</v>
      </c>
      <c r="C394" s="257"/>
      <c r="D394" s="257"/>
      <c r="E394" s="186"/>
      <c r="F394" s="186"/>
    </row>
    <row r="395" spans="1:6" ht="13">
      <c r="A395" s="130"/>
      <c r="B395" s="259"/>
      <c r="C395" s="257"/>
      <c r="D395" s="257"/>
      <c r="E395" s="186"/>
      <c r="F395" s="186"/>
    </row>
    <row r="396" spans="1:6" ht="13">
      <c r="A396" s="130"/>
      <c r="B396" s="258" t="s">
        <v>48</v>
      </c>
      <c r="C396" s="257"/>
      <c r="D396" s="257"/>
      <c r="E396" s="186"/>
      <c r="F396" s="186"/>
    </row>
    <row r="397" spans="1:6" ht="13">
      <c r="A397" s="130"/>
      <c r="B397" s="259"/>
      <c r="C397" s="257"/>
      <c r="D397" s="257"/>
      <c r="E397" s="186"/>
      <c r="F397" s="186"/>
    </row>
    <row r="398" spans="1:6" ht="38">
      <c r="A398" s="130"/>
      <c r="B398" s="259" t="s">
        <v>49</v>
      </c>
      <c r="C398" s="257"/>
      <c r="D398" s="257"/>
      <c r="E398" s="186"/>
      <c r="F398" s="186"/>
    </row>
    <row r="399" spans="1:6" ht="13">
      <c r="A399" s="130"/>
      <c r="B399" s="261"/>
      <c r="C399" s="257"/>
      <c r="D399" s="257"/>
      <c r="E399" s="186"/>
      <c r="F399" s="186"/>
    </row>
    <row r="400" spans="1:6" ht="13">
      <c r="A400" s="130"/>
      <c r="B400" s="256" t="s">
        <v>252</v>
      </c>
      <c r="C400" s="257"/>
      <c r="D400" s="257"/>
      <c r="E400" s="186"/>
      <c r="F400" s="186"/>
    </row>
    <row r="401" spans="1:6" ht="13">
      <c r="A401" s="130"/>
      <c r="B401" s="256"/>
      <c r="C401" s="257"/>
      <c r="D401" s="257"/>
      <c r="E401" s="186"/>
      <c r="F401" s="186"/>
    </row>
    <row r="402" spans="1:6" ht="13">
      <c r="A402" s="130"/>
      <c r="B402" s="258" t="s">
        <v>253</v>
      </c>
      <c r="C402" s="257"/>
      <c r="D402" s="257"/>
      <c r="E402" s="186"/>
      <c r="F402" s="186"/>
    </row>
    <row r="403" spans="1:6" ht="13">
      <c r="A403" s="130"/>
      <c r="B403" s="261"/>
      <c r="C403" s="257"/>
      <c r="D403" s="257"/>
      <c r="E403" s="186"/>
      <c r="F403" s="186"/>
    </row>
    <row r="404" spans="1:6" ht="25">
      <c r="A404" s="130"/>
      <c r="B404" s="259" t="s">
        <v>254</v>
      </c>
      <c r="C404" s="238" t="s">
        <v>54</v>
      </c>
      <c r="D404" s="237">
        <f>20</f>
        <v>20</v>
      </c>
      <c r="E404" s="186"/>
      <c r="F404" s="186">
        <f>D404*E404</f>
        <v>0</v>
      </c>
    </row>
    <row r="405" spans="1:6">
      <c r="A405" s="130"/>
      <c r="B405" s="259"/>
      <c r="C405" s="238"/>
      <c r="D405" s="237"/>
      <c r="E405" s="186"/>
      <c r="F405" s="186"/>
    </row>
    <row r="406" spans="1:6" ht="13" thickBot="1">
      <c r="A406" s="116"/>
      <c r="B406" s="262"/>
      <c r="C406" s="263"/>
      <c r="D406" s="202"/>
      <c r="E406" s="193"/>
      <c r="F406" s="193"/>
    </row>
    <row r="407" spans="1:6" ht="13.5" thickBot="1">
      <c r="A407" s="200"/>
      <c r="B407" s="264" t="s">
        <v>216</v>
      </c>
      <c r="C407" s="264"/>
      <c r="D407" s="264"/>
      <c r="E407" s="264"/>
      <c r="F407" s="124">
        <f>F404</f>
        <v>0</v>
      </c>
    </row>
    <row r="408" spans="1:6">
      <c r="A408" s="113"/>
      <c r="B408" s="201"/>
      <c r="C408" s="113"/>
      <c r="D408" s="113"/>
      <c r="E408" s="185"/>
      <c r="F408" s="185"/>
    </row>
    <row r="409" spans="1:6" ht="13">
      <c r="A409" s="130"/>
      <c r="B409" s="257" t="s">
        <v>255</v>
      </c>
      <c r="C409" s="237"/>
      <c r="D409" s="237"/>
      <c r="E409" s="186"/>
      <c r="F409" s="186"/>
    </row>
    <row r="410" spans="1:6" ht="13">
      <c r="A410" s="130"/>
      <c r="B410" s="257"/>
      <c r="C410" s="237"/>
      <c r="D410" s="237"/>
      <c r="E410" s="186"/>
      <c r="F410" s="186"/>
    </row>
    <row r="411" spans="1:6">
      <c r="A411" s="130"/>
      <c r="B411" s="237" t="s">
        <v>256</v>
      </c>
      <c r="C411" s="238" t="s">
        <v>149</v>
      </c>
      <c r="D411" s="265">
        <f>(0.6*0.6)*3</f>
        <v>1.08</v>
      </c>
      <c r="E411" s="186"/>
      <c r="F411" s="186">
        <f t="shared" ref="F411:F437" si="9">D411*E411</f>
        <v>0</v>
      </c>
    </row>
    <row r="412" spans="1:6">
      <c r="A412" s="130"/>
      <c r="B412" s="237"/>
      <c r="C412" s="237"/>
      <c r="D412" s="265"/>
      <c r="E412" s="186"/>
      <c r="F412" s="186">
        <f t="shared" si="9"/>
        <v>0</v>
      </c>
    </row>
    <row r="413" spans="1:6" ht="37.5">
      <c r="A413" s="130"/>
      <c r="B413" s="266" t="s">
        <v>257</v>
      </c>
      <c r="C413" s="238" t="s">
        <v>149</v>
      </c>
      <c r="D413" s="265">
        <f>D411</f>
        <v>1.08</v>
      </c>
      <c r="E413" s="186"/>
      <c r="F413" s="186">
        <f t="shared" si="9"/>
        <v>0</v>
      </c>
    </row>
    <row r="414" spans="1:6">
      <c r="A414" s="130"/>
      <c r="B414" s="237"/>
      <c r="C414" s="130"/>
      <c r="D414" s="265"/>
      <c r="E414" s="186"/>
      <c r="F414" s="186">
        <f t="shared" si="9"/>
        <v>0</v>
      </c>
    </row>
    <row r="415" spans="1:6">
      <c r="A415" s="130"/>
      <c r="B415" s="237" t="s">
        <v>258</v>
      </c>
      <c r="C415" s="130" t="s">
        <v>54</v>
      </c>
      <c r="D415" s="265">
        <f>27</f>
        <v>27</v>
      </c>
      <c r="E415" s="186"/>
      <c r="F415" s="186">
        <f t="shared" si="9"/>
        <v>0</v>
      </c>
    </row>
    <row r="416" spans="1:6">
      <c r="A416" s="130"/>
      <c r="B416" s="237"/>
      <c r="C416" s="130"/>
      <c r="D416" s="265"/>
      <c r="E416" s="186"/>
      <c r="F416" s="186">
        <f t="shared" si="9"/>
        <v>0</v>
      </c>
    </row>
    <row r="417" spans="1:6">
      <c r="A417" s="130"/>
      <c r="B417" s="237" t="s">
        <v>259</v>
      </c>
      <c r="C417" s="130" t="s">
        <v>54</v>
      </c>
      <c r="D417" s="265">
        <f>D415</f>
        <v>27</v>
      </c>
      <c r="E417" s="186"/>
      <c r="F417" s="186">
        <f t="shared" si="9"/>
        <v>0</v>
      </c>
    </row>
    <row r="418" spans="1:6">
      <c r="A418" s="130"/>
      <c r="B418" s="237"/>
      <c r="C418" s="130"/>
      <c r="D418" s="265"/>
      <c r="E418" s="186"/>
      <c r="F418" s="186">
        <f t="shared" si="9"/>
        <v>0</v>
      </c>
    </row>
    <row r="419" spans="1:6">
      <c r="A419" s="130"/>
      <c r="B419" s="237" t="s">
        <v>260</v>
      </c>
      <c r="C419" s="130" t="s">
        <v>149</v>
      </c>
      <c r="D419" s="265">
        <f>(6.5*2+7*2)*2.7</f>
        <v>72.900000000000006</v>
      </c>
      <c r="E419" s="186"/>
      <c r="F419" s="186">
        <f t="shared" si="9"/>
        <v>0</v>
      </c>
    </row>
    <row r="420" spans="1:6">
      <c r="A420" s="130"/>
      <c r="B420" s="237"/>
      <c r="C420" s="130"/>
      <c r="D420" s="265"/>
      <c r="E420" s="186"/>
      <c r="F420" s="186">
        <f t="shared" si="9"/>
        <v>0</v>
      </c>
    </row>
    <row r="421" spans="1:6">
      <c r="A421" s="130"/>
      <c r="B421" s="237" t="s">
        <v>261</v>
      </c>
      <c r="C421" s="130" t="s">
        <v>149</v>
      </c>
      <c r="D421" s="265">
        <f>((6.5*2+7*2)*2.7)*0.5</f>
        <v>36.450000000000003</v>
      </c>
      <c r="E421" s="186"/>
      <c r="F421" s="186">
        <f t="shared" si="9"/>
        <v>0</v>
      </c>
    </row>
    <row r="422" spans="1:6">
      <c r="A422" s="130"/>
      <c r="B422" s="237"/>
      <c r="C422" s="130"/>
      <c r="D422" s="265"/>
      <c r="E422" s="186"/>
      <c r="F422" s="186">
        <f t="shared" si="9"/>
        <v>0</v>
      </c>
    </row>
    <row r="423" spans="1:6">
      <c r="A423" s="130"/>
      <c r="B423" s="141" t="s">
        <v>262</v>
      </c>
      <c r="C423" s="130" t="s">
        <v>149</v>
      </c>
      <c r="D423" s="265">
        <f>(6.5*2+7*2)*2.7</f>
        <v>72.900000000000006</v>
      </c>
      <c r="E423" s="186"/>
      <c r="F423" s="186">
        <f t="shared" si="9"/>
        <v>0</v>
      </c>
    </row>
    <row r="424" spans="1:6">
      <c r="A424" s="130"/>
      <c r="B424" s="237"/>
      <c r="C424" s="130"/>
      <c r="D424" s="265"/>
      <c r="E424" s="186"/>
      <c r="F424" s="186">
        <f t="shared" si="9"/>
        <v>0</v>
      </c>
    </row>
    <row r="425" spans="1:6">
      <c r="A425" s="130"/>
      <c r="B425" s="237" t="s">
        <v>263</v>
      </c>
      <c r="C425" s="130" t="s">
        <v>149</v>
      </c>
      <c r="D425" s="265">
        <f>(1.8*1.5)*0</f>
        <v>0</v>
      </c>
      <c r="E425" s="186"/>
      <c r="F425" s="186">
        <f t="shared" si="9"/>
        <v>0</v>
      </c>
    </row>
    <row r="426" spans="1:6">
      <c r="A426" s="130"/>
      <c r="B426" s="237"/>
      <c r="C426" s="130"/>
      <c r="D426" s="265"/>
      <c r="E426" s="186"/>
      <c r="F426" s="186">
        <f t="shared" si="9"/>
        <v>0</v>
      </c>
    </row>
    <row r="427" spans="1:6">
      <c r="A427" s="130"/>
      <c r="B427" s="237" t="s">
        <v>264</v>
      </c>
      <c r="C427" s="130" t="s">
        <v>149</v>
      </c>
      <c r="D427" s="265">
        <f>2.7*0</f>
        <v>0</v>
      </c>
      <c r="E427" s="186"/>
      <c r="F427" s="186">
        <f t="shared" si="9"/>
        <v>0</v>
      </c>
    </row>
    <row r="428" spans="1:6">
      <c r="A428" s="130"/>
      <c r="B428" s="237"/>
      <c r="C428" s="130"/>
      <c r="D428" s="265"/>
      <c r="E428" s="186"/>
      <c r="F428" s="186">
        <f t="shared" si="9"/>
        <v>0</v>
      </c>
    </row>
    <row r="429" spans="1:6" ht="37.5">
      <c r="A429" s="130"/>
      <c r="B429" s="266" t="s">
        <v>265</v>
      </c>
      <c r="C429" s="130" t="s">
        <v>139</v>
      </c>
      <c r="D429" s="265">
        <v>1</v>
      </c>
      <c r="E429" s="186"/>
      <c r="F429" s="186">
        <f t="shared" si="9"/>
        <v>0</v>
      </c>
    </row>
    <row r="430" spans="1:6">
      <c r="A430" s="130"/>
      <c r="B430" s="237"/>
      <c r="C430" s="130"/>
      <c r="D430" s="265"/>
      <c r="E430" s="186"/>
      <c r="F430" s="186">
        <f t="shared" si="9"/>
        <v>0</v>
      </c>
    </row>
    <row r="431" spans="1:6">
      <c r="A431" s="130"/>
      <c r="B431" s="237" t="s">
        <v>266</v>
      </c>
      <c r="C431" s="130" t="s">
        <v>64</v>
      </c>
      <c r="D431" s="265">
        <v>2</v>
      </c>
      <c r="E431" s="186"/>
      <c r="F431" s="186">
        <f t="shared" si="9"/>
        <v>0</v>
      </c>
    </row>
    <row r="432" spans="1:6">
      <c r="A432" s="130"/>
      <c r="B432" s="237"/>
      <c r="C432" s="130"/>
      <c r="D432" s="265"/>
      <c r="E432" s="186"/>
      <c r="F432" s="186">
        <f t="shared" si="9"/>
        <v>0</v>
      </c>
    </row>
    <row r="433" spans="1:6">
      <c r="A433" s="130"/>
      <c r="B433" s="237" t="s">
        <v>267</v>
      </c>
      <c r="C433" s="130" t="s">
        <v>149</v>
      </c>
      <c r="D433" s="265">
        <f>6.5*7</f>
        <v>45.5</v>
      </c>
      <c r="E433" s="186"/>
      <c r="F433" s="186">
        <f t="shared" si="9"/>
        <v>0</v>
      </c>
    </row>
    <row r="434" spans="1:6">
      <c r="A434" s="130"/>
      <c r="B434" s="237"/>
      <c r="C434" s="130"/>
      <c r="D434" s="265"/>
      <c r="E434" s="186"/>
      <c r="F434" s="186">
        <f t="shared" si="9"/>
        <v>0</v>
      </c>
    </row>
    <row r="435" spans="1:6">
      <c r="A435" s="130"/>
      <c r="B435" s="141" t="s">
        <v>268</v>
      </c>
      <c r="C435" s="130" t="s">
        <v>149</v>
      </c>
      <c r="D435" s="265">
        <f>6.5*7</f>
        <v>45.5</v>
      </c>
      <c r="E435" s="186"/>
      <c r="F435" s="186">
        <f t="shared" si="9"/>
        <v>0</v>
      </c>
    </row>
    <row r="436" spans="1:6">
      <c r="A436" s="130"/>
      <c r="B436" s="141"/>
      <c r="C436" s="130"/>
      <c r="D436" s="265"/>
      <c r="E436" s="186"/>
      <c r="F436" s="186">
        <f t="shared" si="9"/>
        <v>0</v>
      </c>
    </row>
    <row r="437" spans="1:6">
      <c r="A437" s="130"/>
      <c r="B437" s="141" t="s">
        <v>269</v>
      </c>
      <c r="C437" s="130" t="s">
        <v>54</v>
      </c>
      <c r="D437" s="265">
        <v>27</v>
      </c>
      <c r="E437" s="186"/>
      <c r="F437" s="186">
        <f t="shared" si="9"/>
        <v>0</v>
      </c>
    </row>
    <row r="438" spans="1:6">
      <c r="A438" s="130"/>
      <c r="B438" s="237"/>
      <c r="C438" s="130"/>
      <c r="D438" s="265"/>
      <c r="E438" s="186"/>
      <c r="F438" s="186"/>
    </row>
    <row r="439" spans="1:6" ht="13" thickBot="1">
      <c r="A439" s="116"/>
      <c r="B439" s="202"/>
      <c r="C439" s="116"/>
      <c r="D439" s="267"/>
      <c r="E439" s="193"/>
      <c r="F439" s="193"/>
    </row>
    <row r="440" spans="1:6" ht="13.5" thickBot="1">
      <c r="A440" s="200"/>
      <c r="B440" s="264" t="s">
        <v>216</v>
      </c>
      <c r="C440" s="264"/>
      <c r="D440" s="264"/>
      <c r="E440" s="264"/>
      <c r="F440" s="124">
        <f>SUM(F411:F438)</f>
        <v>0</v>
      </c>
    </row>
    <row r="441" spans="1:6">
      <c r="A441" s="113"/>
      <c r="B441" s="201"/>
      <c r="C441" s="113"/>
      <c r="D441" s="113"/>
      <c r="E441" s="185"/>
      <c r="F441" s="185"/>
    </row>
    <row r="442" spans="1:6" ht="13">
      <c r="A442" s="130"/>
      <c r="B442" s="257" t="s">
        <v>270</v>
      </c>
      <c r="C442" s="237"/>
      <c r="D442" s="237"/>
      <c r="E442" s="186"/>
      <c r="F442" s="186"/>
    </row>
    <row r="443" spans="1:6" ht="13">
      <c r="A443" s="130"/>
      <c r="B443" s="257"/>
      <c r="C443" s="237"/>
      <c r="D443" s="237"/>
      <c r="E443" s="186"/>
      <c r="F443" s="186"/>
    </row>
    <row r="444" spans="1:6">
      <c r="A444" s="130"/>
      <c r="B444" s="237" t="s">
        <v>271</v>
      </c>
      <c r="C444" s="238" t="s">
        <v>149</v>
      </c>
      <c r="D444" s="265">
        <f>12*8</f>
        <v>96</v>
      </c>
      <c r="E444" s="186"/>
      <c r="F444" s="186">
        <f>D444*E444</f>
        <v>0</v>
      </c>
    </row>
    <row r="445" spans="1:6">
      <c r="A445" s="130"/>
      <c r="B445" s="237"/>
      <c r="C445" s="237"/>
      <c r="D445" s="265"/>
      <c r="E445" s="186"/>
      <c r="F445" s="186">
        <f t="shared" ref="F445:F476" si="10">D445*E445</f>
        <v>0</v>
      </c>
    </row>
    <row r="446" spans="1:6" ht="37.5">
      <c r="A446" s="130"/>
      <c r="B446" s="266" t="s">
        <v>257</v>
      </c>
      <c r="C446" s="238" t="s">
        <v>149</v>
      </c>
      <c r="D446" s="265">
        <f>D444</f>
        <v>96</v>
      </c>
      <c r="E446" s="186"/>
      <c r="F446" s="186">
        <f t="shared" si="10"/>
        <v>0</v>
      </c>
    </row>
    <row r="447" spans="1:6">
      <c r="A447" s="130"/>
      <c r="B447" s="237"/>
      <c r="C447" s="130"/>
      <c r="D447" s="265"/>
      <c r="E447" s="186"/>
      <c r="F447" s="186">
        <f t="shared" si="10"/>
        <v>0</v>
      </c>
    </row>
    <row r="448" spans="1:6">
      <c r="A448" s="130"/>
      <c r="B448" s="237" t="s">
        <v>272</v>
      </c>
      <c r="C448" s="130" t="s">
        <v>54</v>
      </c>
      <c r="D448" s="265">
        <f>40</f>
        <v>40</v>
      </c>
      <c r="E448" s="186"/>
      <c r="F448" s="186">
        <f t="shared" si="10"/>
        <v>0</v>
      </c>
    </row>
    <row r="449" spans="1:6">
      <c r="A449" s="130"/>
      <c r="B449" s="237"/>
      <c r="C449" s="130"/>
      <c r="D449" s="265"/>
      <c r="E449" s="186"/>
      <c r="F449" s="186">
        <f t="shared" si="10"/>
        <v>0</v>
      </c>
    </row>
    <row r="450" spans="1:6">
      <c r="A450" s="130"/>
      <c r="B450" s="237" t="s">
        <v>258</v>
      </c>
      <c r="C450" s="130" t="s">
        <v>54</v>
      </c>
      <c r="D450" s="265">
        <f>D448</f>
        <v>40</v>
      </c>
      <c r="E450" s="186"/>
      <c r="F450" s="186">
        <f t="shared" si="10"/>
        <v>0</v>
      </c>
    </row>
    <row r="451" spans="1:6">
      <c r="A451" s="130"/>
      <c r="B451" s="237"/>
      <c r="C451" s="130"/>
      <c r="D451" s="265"/>
      <c r="E451" s="186"/>
      <c r="F451" s="186">
        <f t="shared" si="10"/>
        <v>0</v>
      </c>
    </row>
    <row r="452" spans="1:6">
      <c r="A452" s="130"/>
      <c r="B452" s="237" t="s">
        <v>259</v>
      </c>
      <c r="C452" s="130" t="s">
        <v>54</v>
      </c>
      <c r="D452" s="265">
        <f>D450</f>
        <v>40</v>
      </c>
      <c r="E452" s="186"/>
      <c r="F452" s="186">
        <f t="shared" si="10"/>
        <v>0</v>
      </c>
    </row>
    <row r="453" spans="1:6">
      <c r="A453" s="130"/>
      <c r="B453" s="237"/>
      <c r="C453" s="130"/>
      <c r="D453" s="265"/>
      <c r="E453" s="186"/>
      <c r="F453" s="186">
        <f t="shared" si="10"/>
        <v>0</v>
      </c>
    </row>
    <row r="454" spans="1:6">
      <c r="A454" s="130"/>
      <c r="B454" s="237" t="s">
        <v>260</v>
      </c>
      <c r="C454" s="130" t="s">
        <v>149</v>
      </c>
      <c r="D454" s="265">
        <f>(12*2+8*2)*2.7</f>
        <v>108</v>
      </c>
      <c r="E454" s="186"/>
      <c r="F454" s="186">
        <f t="shared" si="10"/>
        <v>0</v>
      </c>
    </row>
    <row r="455" spans="1:6">
      <c r="A455" s="130"/>
      <c r="B455" s="237"/>
      <c r="C455" s="130"/>
      <c r="D455" s="265"/>
      <c r="E455" s="186"/>
      <c r="F455" s="186">
        <f t="shared" si="10"/>
        <v>0</v>
      </c>
    </row>
    <row r="456" spans="1:6">
      <c r="A456" s="130"/>
      <c r="B456" s="237" t="s">
        <v>261</v>
      </c>
      <c r="C456" s="130" t="s">
        <v>149</v>
      </c>
      <c r="D456" s="265">
        <f>((12*2+8*2)*2.7)*0.5</f>
        <v>54</v>
      </c>
      <c r="E456" s="186"/>
      <c r="F456" s="186">
        <f t="shared" si="10"/>
        <v>0</v>
      </c>
    </row>
    <row r="457" spans="1:6">
      <c r="A457" s="130"/>
      <c r="B457" s="237"/>
      <c r="C457" s="130"/>
      <c r="D457" s="265"/>
      <c r="E457" s="186"/>
      <c r="F457" s="186">
        <f t="shared" si="10"/>
        <v>0</v>
      </c>
    </row>
    <row r="458" spans="1:6">
      <c r="A458" s="130"/>
      <c r="B458" s="141" t="s">
        <v>273</v>
      </c>
      <c r="C458" s="130" t="s">
        <v>149</v>
      </c>
      <c r="D458" s="265">
        <f>D454</f>
        <v>108</v>
      </c>
      <c r="E458" s="186"/>
      <c r="F458" s="186">
        <f t="shared" si="10"/>
        <v>0</v>
      </c>
    </row>
    <row r="459" spans="1:6">
      <c r="A459" s="130"/>
      <c r="B459" s="237"/>
      <c r="C459" s="130"/>
      <c r="D459" s="265"/>
      <c r="E459" s="186"/>
      <c r="F459" s="186">
        <f t="shared" si="10"/>
        <v>0</v>
      </c>
    </row>
    <row r="460" spans="1:6" ht="37.5">
      <c r="A460" s="130"/>
      <c r="B460" s="266" t="s">
        <v>265</v>
      </c>
      <c r="C460" s="130" t="s">
        <v>139</v>
      </c>
      <c r="D460" s="265">
        <v>1</v>
      </c>
      <c r="E460" s="186"/>
      <c r="F460" s="186">
        <f t="shared" si="10"/>
        <v>0</v>
      </c>
    </row>
    <row r="461" spans="1:6">
      <c r="A461" s="130"/>
      <c r="B461" s="237"/>
      <c r="C461" s="130"/>
      <c r="D461" s="265"/>
      <c r="E461" s="186"/>
      <c r="F461" s="186">
        <f t="shared" si="10"/>
        <v>0</v>
      </c>
    </row>
    <row r="462" spans="1:6">
      <c r="A462" s="130"/>
      <c r="B462" s="237" t="s">
        <v>274</v>
      </c>
      <c r="C462" s="238" t="s">
        <v>139</v>
      </c>
      <c r="D462" s="265">
        <v>1</v>
      </c>
      <c r="E462" s="186"/>
      <c r="F462" s="186">
        <f t="shared" si="10"/>
        <v>0</v>
      </c>
    </row>
    <row r="463" spans="1:6">
      <c r="A463" s="130"/>
      <c r="B463" s="237"/>
      <c r="C463" s="238"/>
      <c r="D463" s="237"/>
      <c r="E463" s="186"/>
      <c r="F463" s="186">
        <f t="shared" si="10"/>
        <v>0</v>
      </c>
    </row>
    <row r="464" spans="1:6">
      <c r="A464" s="130"/>
      <c r="B464" s="237" t="s">
        <v>275</v>
      </c>
      <c r="C464" s="238" t="s">
        <v>139</v>
      </c>
      <c r="D464" s="265">
        <v>1</v>
      </c>
      <c r="E464" s="186"/>
      <c r="F464" s="186">
        <f t="shared" si="10"/>
        <v>0</v>
      </c>
    </row>
    <row r="465" spans="1:6">
      <c r="A465" s="130"/>
      <c r="B465" s="237"/>
      <c r="C465" s="238"/>
      <c r="D465" s="237"/>
      <c r="E465" s="186"/>
      <c r="F465" s="186">
        <f t="shared" si="10"/>
        <v>0</v>
      </c>
    </row>
    <row r="466" spans="1:6">
      <c r="A466" s="130"/>
      <c r="B466" s="237" t="s">
        <v>276</v>
      </c>
      <c r="C466" s="130" t="s">
        <v>139</v>
      </c>
      <c r="D466" s="265">
        <v>3</v>
      </c>
      <c r="E466" s="186"/>
      <c r="F466" s="186">
        <f t="shared" si="10"/>
        <v>0</v>
      </c>
    </row>
    <row r="467" spans="1:6">
      <c r="A467" s="130"/>
      <c r="B467" s="237"/>
      <c r="C467" s="238"/>
      <c r="D467" s="237"/>
      <c r="E467" s="186"/>
      <c r="F467" s="186">
        <f t="shared" si="10"/>
        <v>0</v>
      </c>
    </row>
    <row r="468" spans="1:6">
      <c r="A468" s="130"/>
      <c r="B468" s="237" t="s">
        <v>277</v>
      </c>
      <c r="C468" s="130" t="s">
        <v>139</v>
      </c>
      <c r="D468" s="265">
        <v>1</v>
      </c>
      <c r="E468" s="186"/>
      <c r="F468" s="186">
        <f t="shared" si="10"/>
        <v>0</v>
      </c>
    </row>
    <row r="469" spans="1:6">
      <c r="A469" s="130"/>
      <c r="B469" s="237"/>
      <c r="C469" s="130"/>
      <c r="D469" s="265"/>
      <c r="E469" s="186"/>
      <c r="F469" s="186">
        <f t="shared" si="10"/>
        <v>0</v>
      </c>
    </row>
    <row r="470" spans="1:6">
      <c r="A470" s="130"/>
      <c r="B470" s="237" t="s">
        <v>266</v>
      </c>
      <c r="C470" s="130" t="s">
        <v>64</v>
      </c>
      <c r="D470" s="265">
        <v>2</v>
      </c>
      <c r="E470" s="186"/>
      <c r="F470" s="186">
        <f t="shared" si="10"/>
        <v>0</v>
      </c>
    </row>
    <row r="471" spans="1:6">
      <c r="A471" s="130"/>
      <c r="B471" s="237"/>
      <c r="C471" s="130"/>
      <c r="D471" s="265"/>
      <c r="E471" s="186"/>
      <c r="F471" s="186">
        <f t="shared" si="10"/>
        <v>0</v>
      </c>
    </row>
    <row r="472" spans="1:6">
      <c r="A472" s="130"/>
      <c r="B472" s="237" t="s">
        <v>267</v>
      </c>
      <c r="C472" s="130" t="s">
        <v>149</v>
      </c>
      <c r="D472" s="265">
        <v>96</v>
      </c>
      <c r="E472" s="186"/>
      <c r="F472" s="186">
        <f t="shared" si="10"/>
        <v>0</v>
      </c>
    </row>
    <row r="473" spans="1:6">
      <c r="A473" s="130"/>
      <c r="B473" s="237"/>
      <c r="C473" s="130"/>
      <c r="D473" s="265"/>
      <c r="E473" s="186"/>
      <c r="F473" s="186">
        <f t="shared" si="10"/>
        <v>0</v>
      </c>
    </row>
    <row r="474" spans="1:6">
      <c r="A474" s="130"/>
      <c r="B474" s="141" t="s">
        <v>268</v>
      </c>
      <c r="C474" s="130" t="s">
        <v>149</v>
      </c>
      <c r="D474" s="265">
        <v>96</v>
      </c>
      <c r="E474" s="186"/>
      <c r="F474" s="186">
        <f t="shared" si="10"/>
        <v>0</v>
      </c>
    </row>
    <row r="475" spans="1:6">
      <c r="A475" s="130"/>
      <c r="B475" s="141"/>
      <c r="C475" s="130"/>
      <c r="D475" s="265"/>
      <c r="E475" s="186"/>
      <c r="F475" s="186">
        <f t="shared" si="10"/>
        <v>0</v>
      </c>
    </row>
    <row r="476" spans="1:6">
      <c r="A476" s="130"/>
      <c r="B476" s="141" t="s">
        <v>269</v>
      </c>
      <c r="C476" s="130" t="s">
        <v>54</v>
      </c>
      <c r="D476" s="265">
        <v>40</v>
      </c>
      <c r="E476" s="186"/>
      <c r="F476" s="186">
        <f t="shared" si="10"/>
        <v>0</v>
      </c>
    </row>
    <row r="477" spans="1:6" ht="13" thickBot="1">
      <c r="A477" s="116"/>
      <c r="B477" s="202"/>
      <c r="C477" s="116"/>
      <c r="D477" s="116"/>
      <c r="E477" s="193"/>
      <c r="F477" s="193"/>
    </row>
    <row r="478" spans="1:6" ht="13.5" thickBot="1">
      <c r="A478" s="200"/>
      <c r="B478" s="264" t="s">
        <v>216</v>
      </c>
      <c r="C478" s="264"/>
      <c r="D478" s="264"/>
      <c r="E478" s="264"/>
      <c r="F478" s="124">
        <f>SUM(F444:F476)</f>
        <v>0</v>
      </c>
    </row>
    <row r="479" spans="1:6">
      <c r="A479" s="113"/>
      <c r="B479" s="201"/>
      <c r="C479" s="113"/>
      <c r="D479" s="113"/>
      <c r="E479" s="185"/>
      <c r="F479" s="185"/>
    </row>
    <row r="480" spans="1:6" ht="13">
      <c r="A480" s="130"/>
      <c r="B480" s="257" t="s">
        <v>278</v>
      </c>
      <c r="C480" s="237"/>
      <c r="D480" s="237"/>
      <c r="E480" s="186"/>
      <c r="F480" s="186"/>
    </row>
    <row r="481" spans="1:6" ht="13">
      <c r="A481" s="130"/>
      <c r="B481" s="257"/>
      <c r="C481" s="237"/>
      <c r="D481" s="237"/>
      <c r="E481" s="186"/>
      <c r="F481" s="186"/>
    </row>
    <row r="482" spans="1:6">
      <c r="A482" s="130"/>
      <c r="B482" s="237" t="s">
        <v>271</v>
      </c>
      <c r="C482" s="238" t="s">
        <v>149</v>
      </c>
      <c r="D482" s="265">
        <f>13*7.5</f>
        <v>97.5</v>
      </c>
      <c r="E482" s="186"/>
      <c r="F482" s="186">
        <f>D482*E482</f>
        <v>0</v>
      </c>
    </row>
    <row r="483" spans="1:6">
      <c r="A483" s="130"/>
      <c r="B483" s="237"/>
      <c r="C483" s="237"/>
      <c r="D483" s="265"/>
      <c r="E483" s="186"/>
      <c r="F483" s="186">
        <f t="shared" ref="F483:F516" si="11">D483*E483</f>
        <v>0</v>
      </c>
    </row>
    <row r="484" spans="1:6" ht="37.5">
      <c r="A484" s="130"/>
      <c r="B484" s="266" t="s">
        <v>257</v>
      </c>
      <c r="C484" s="238" t="s">
        <v>149</v>
      </c>
      <c r="D484" s="265">
        <f>D482</f>
        <v>97.5</v>
      </c>
      <c r="E484" s="186"/>
      <c r="F484" s="186">
        <f t="shared" si="11"/>
        <v>0</v>
      </c>
    </row>
    <row r="485" spans="1:6">
      <c r="A485" s="130"/>
      <c r="B485" s="237"/>
      <c r="C485" s="130"/>
      <c r="D485" s="265"/>
      <c r="E485" s="186"/>
      <c r="F485" s="186">
        <f t="shared" si="11"/>
        <v>0</v>
      </c>
    </row>
    <row r="486" spans="1:6">
      <c r="A486" s="130"/>
      <c r="B486" s="237" t="s">
        <v>279</v>
      </c>
      <c r="C486" s="130" t="s">
        <v>54</v>
      </c>
      <c r="D486" s="265">
        <f>41</f>
        <v>41</v>
      </c>
      <c r="E486" s="186"/>
      <c r="F486" s="186">
        <f t="shared" si="11"/>
        <v>0</v>
      </c>
    </row>
    <row r="487" spans="1:6">
      <c r="A487" s="130"/>
      <c r="B487" s="237"/>
      <c r="C487" s="130"/>
      <c r="D487" s="265"/>
      <c r="E487" s="186"/>
      <c r="F487" s="186">
        <f t="shared" si="11"/>
        <v>0</v>
      </c>
    </row>
    <row r="488" spans="1:6">
      <c r="A488" s="130"/>
      <c r="B488" s="237" t="s">
        <v>258</v>
      </c>
      <c r="C488" s="130" t="s">
        <v>54</v>
      </c>
      <c r="D488" s="265">
        <f>D486</f>
        <v>41</v>
      </c>
      <c r="E488" s="186"/>
      <c r="F488" s="186">
        <f t="shared" si="11"/>
        <v>0</v>
      </c>
    </row>
    <row r="489" spans="1:6">
      <c r="A489" s="130"/>
      <c r="B489" s="237"/>
      <c r="C489" s="130"/>
      <c r="D489" s="265"/>
      <c r="E489" s="186"/>
      <c r="F489" s="186">
        <f t="shared" si="11"/>
        <v>0</v>
      </c>
    </row>
    <row r="490" spans="1:6">
      <c r="A490" s="130"/>
      <c r="B490" s="237" t="s">
        <v>259</v>
      </c>
      <c r="C490" s="130" t="s">
        <v>54</v>
      </c>
      <c r="D490" s="265">
        <f>D488</f>
        <v>41</v>
      </c>
      <c r="E490" s="186"/>
      <c r="F490" s="186">
        <f t="shared" si="11"/>
        <v>0</v>
      </c>
    </row>
    <row r="491" spans="1:6">
      <c r="A491" s="130"/>
      <c r="B491" s="237"/>
      <c r="C491" s="130"/>
      <c r="D491" s="265"/>
      <c r="E491" s="186"/>
      <c r="F491" s="186">
        <f t="shared" si="11"/>
        <v>0</v>
      </c>
    </row>
    <row r="492" spans="1:6">
      <c r="A492" s="130"/>
      <c r="B492" s="237" t="s">
        <v>280</v>
      </c>
      <c r="C492" s="130" t="s">
        <v>149</v>
      </c>
      <c r="D492" s="265">
        <v>18</v>
      </c>
      <c r="E492" s="186"/>
      <c r="F492" s="186">
        <f t="shared" si="11"/>
        <v>0</v>
      </c>
    </row>
    <row r="493" spans="1:6">
      <c r="A493" s="130"/>
      <c r="B493" s="237"/>
      <c r="C493" s="130"/>
      <c r="D493" s="265"/>
      <c r="E493" s="186"/>
      <c r="F493" s="186">
        <f t="shared" si="11"/>
        <v>0</v>
      </c>
    </row>
    <row r="494" spans="1:6">
      <c r="A494" s="130"/>
      <c r="B494" s="237" t="s">
        <v>260</v>
      </c>
      <c r="C494" s="130" t="s">
        <v>149</v>
      </c>
      <c r="D494" s="265">
        <f>(12*2+8*2)*2.7</f>
        <v>108</v>
      </c>
      <c r="E494" s="186"/>
      <c r="F494" s="186">
        <f t="shared" si="11"/>
        <v>0</v>
      </c>
    </row>
    <row r="495" spans="1:6">
      <c r="A495" s="130"/>
      <c r="B495" s="237"/>
      <c r="C495" s="130"/>
      <c r="D495" s="265"/>
      <c r="E495" s="186"/>
      <c r="F495" s="186">
        <f t="shared" si="11"/>
        <v>0</v>
      </c>
    </row>
    <row r="496" spans="1:6">
      <c r="A496" s="130"/>
      <c r="B496" s="237" t="s">
        <v>281</v>
      </c>
      <c r="C496" s="130" t="s">
        <v>149</v>
      </c>
      <c r="D496" s="265">
        <f>D494</f>
        <v>108</v>
      </c>
      <c r="E496" s="186"/>
      <c r="F496" s="186">
        <f t="shared" si="11"/>
        <v>0</v>
      </c>
    </row>
    <row r="497" spans="1:6">
      <c r="A497" s="130"/>
      <c r="B497" s="237"/>
      <c r="C497" s="130"/>
      <c r="D497" s="265"/>
      <c r="E497" s="186"/>
      <c r="F497" s="186">
        <f t="shared" si="11"/>
        <v>0</v>
      </c>
    </row>
    <row r="498" spans="1:6">
      <c r="A498" s="130"/>
      <c r="B498" s="141" t="s">
        <v>273</v>
      </c>
      <c r="C498" s="130" t="s">
        <v>149</v>
      </c>
      <c r="D498" s="265">
        <f>D494</f>
        <v>108</v>
      </c>
      <c r="E498" s="186"/>
      <c r="F498" s="186">
        <f t="shared" si="11"/>
        <v>0</v>
      </c>
    </row>
    <row r="499" spans="1:6">
      <c r="A499" s="130"/>
      <c r="B499" s="237"/>
      <c r="C499" s="130"/>
      <c r="D499" s="265"/>
      <c r="E499" s="186"/>
      <c r="F499" s="186">
        <f t="shared" si="11"/>
        <v>0</v>
      </c>
    </row>
    <row r="500" spans="1:6" ht="37.5">
      <c r="A500" s="130"/>
      <c r="B500" s="266" t="s">
        <v>265</v>
      </c>
      <c r="C500" s="130" t="s">
        <v>139</v>
      </c>
      <c r="D500" s="265">
        <v>1</v>
      </c>
      <c r="E500" s="186"/>
      <c r="F500" s="186">
        <f t="shared" si="11"/>
        <v>0</v>
      </c>
    </row>
    <row r="501" spans="1:6">
      <c r="A501" s="130"/>
      <c r="B501" s="237"/>
      <c r="C501" s="130"/>
      <c r="D501" s="265"/>
      <c r="E501" s="186"/>
      <c r="F501" s="186">
        <f t="shared" si="11"/>
        <v>0</v>
      </c>
    </row>
    <row r="502" spans="1:6">
      <c r="A502" s="130"/>
      <c r="B502" s="237" t="s">
        <v>274</v>
      </c>
      <c r="C502" s="238" t="s">
        <v>139</v>
      </c>
      <c r="D502" s="265">
        <v>2</v>
      </c>
      <c r="E502" s="186"/>
      <c r="F502" s="186">
        <f t="shared" si="11"/>
        <v>0</v>
      </c>
    </row>
    <row r="503" spans="1:6">
      <c r="A503" s="130"/>
      <c r="B503" s="237"/>
      <c r="C503" s="238"/>
      <c r="D503" s="237"/>
      <c r="E503" s="186"/>
      <c r="F503" s="186">
        <f t="shared" si="11"/>
        <v>0</v>
      </c>
    </row>
    <row r="504" spans="1:6">
      <c r="A504" s="130"/>
      <c r="B504" s="237" t="s">
        <v>275</v>
      </c>
      <c r="C504" s="238" t="s">
        <v>139</v>
      </c>
      <c r="D504" s="265">
        <v>2</v>
      </c>
      <c r="E504" s="186"/>
      <c r="F504" s="186">
        <f t="shared" si="11"/>
        <v>0</v>
      </c>
    </row>
    <row r="505" spans="1:6">
      <c r="A505" s="130"/>
      <c r="B505" s="237"/>
      <c r="C505" s="238"/>
      <c r="D505" s="237"/>
      <c r="E505" s="186"/>
      <c r="F505" s="186">
        <f t="shared" si="11"/>
        <v>0</v>
      </c>
    </row>
    <row r="506" spans="1:6">
      <c r="A506" s="130"/>
      <c r="B506" s="237" t="s">
        <v>276</v>
      </c>
      <c r="C506" s="130" t="s">
        <v>139</v>
      </c>
      <c r="D506" s="265">
        <f>3*2</f>
        <v>6</v>
      </c>
      <c r="E506" s="186"/>
      <c r="F506" s="186">
        <f t="shared" si="11"/>
        <v>0</v>
      </c>
    </row>
    <row r="507" spans="1:6">
      <c r="A507" s="130"/>
      <c r="B507" s="237"/>
      <c r="C507" s="238"/>
      <c r="D507" s="237"/>
      <c r="E507" s="186"/>
      <c r="F507" s="186">
        <f t="shared" si="11"/>
        <v>0</v>
      </c>
    </row>
    <row r="508" spans="1:6">
      <c r="A508" s="130"/>
      <c r="B508" s="237" t="s">
        <v>277</v>
      </c>
      <c r="C508" s="130" t="s">
        <v>139</v>
      </c>
      <c r="D508" s="265">
        <v>2</v>
      </c>
      <c r="E508" s="186"/>
      <c r="F508" s="186">
        <f t="shared" si="11"/>
        <v>0</v>
      </c>
    </row>
    <row r="509" spans="1:6">
      <c r="A509" s="130"/>
      <c r="B509" s="237"/>
      <c r="C509" s="130"/>
      <c r="D509" s="265"/>
      <c r="E509" s="186"/>
      <c r="F509" s="186">
        <f t="shared" si="11"/>
        <v>0</v>
      </c>
    </row>
    <row r="510" spans="1:6">
      <c r="A510" s="130"/>
      <c r="B510" s="237" t="s">
        <v>267</v>
      </c>
      <c r="C510" s="130" t="s">
        <v>149</v>
      </c>
      <c r="D510" s="265">
        <v>97.5</v>
      </c>
      <c r="E510" s="186"/>
      <c r="F510" s="186">
        <f t="shared" si="11"/>
        <v>0</v>
      </c>
    </row>
    <row r="511" spans="1:6">
      <c r="A511" s="130"/>
      <c r="B511" s="237"/>
      <c r="C511" s="130"/>
      <c r="D511" s="265"/>
      <c r="E511" s="186"/>
      <c r="F511" s="186">
        <f t="shared" si="11"/>
        <v>0</v>
      </c>
    </row>
    <row r="512" spans="1:6">
      <c r="A512" s="130"/>
      <c r="B512" s="141" t="s">
        <v>268</v>
      </c>
      <c r="C512" s="130" t="s">
        <v>149</v>
      </c>
      <c r="D512" s="265">
        <v>97.5</v>
      </c>
      <c r="E512" s="186"/>
      <c r="F512" s="186">
        <f t="shared" si="11"/>
        <v>0</v>
      </c>
    </row>
    <row r="513" spans="1:6">
      <c r="A513" s="130"/>
      <c r="B513" s="141"/>
      <c r="C513" s="130"/>
      <c r="D513" s="265"/>
      <c r="E513" s="186"/>
      <c r="F513" s="186">
        <f t="shared" si="11"/>
        <v>0</v>
      </c>
    </row>
    <row r="514" spans="1:6">
      <c r="A514" s="130"/>
      <c r="B514" s="141" t="s">
        <v>269</v>
      </c>
      <c r="C514" s="130" t="s">
        <v>54</v>
      </c>
      <c r="D514" s="265">
        <v>41</v>
      </c>
      <c r="E514" s="186"/>
      <c r="F514" s="186">
        <f t="shared" si="11"/>
        <v>0</v>
      </c>
    </row>
    <row r="515" spans="1:6">
      <c r="A515" s="130"/>
      <c r="B515" s="237"/>
      <c r="C515" s="130"/>
      <c r="D515" s="237"/>
      <c r="E515" s="186"/>
      <c r="F515" s="186">
        <f t="shared" si="11"/>
        <v>0</v>
      </c>
    </row>
    <row r="516" spans="1:6">
      <c r="A516" s="130"/>
      <c r="B516" s="237" t="s">
        <v>282</v>
      </c>
      <c r="C516" s="130" t="s">
        <v>54</v>
      </c>
      <c r="D516" s="265">
        <f>12/2.7</f>
        <v>4.4444444444444438</v>
      </c>
      <c r="E516" s="186"/>
      <c r="F516" s="186">
        <f t="shared" si="11"/>
        <v>0</v>
      </c>
    </row>
    <row r="517" spans="1:6" ht="13" thickBot="1">
      <c r="A517" s="116"/>
      <c r="B517" s="202"/>
      <c r="C517" s="116"/>
      <c r="D517" s="116"/>
      <c r="E517" s="193"/>
      <c r="F517" s="193"/>
    </row>
    <row r="518" spans="1:6" ht="13.5" thickBot="1">
      <c r="A518" s="200"/>
      <c r="B518" s="264" t="s">
        <v>216</v>
      </c>
      <c r="C518" s="264"/>
      <c r="D518" s="264"/>
      <c r="E518" s="264"/>
      <c r="F518" s="124">
        <f>SUM(F482:F516)</f>
        <v>0</v>
      </c>
    </row>
    <row r="519" spans="1:6">
      <c r="A519" s="113"/>
      <c r="B519" s="201"/>
      <c r="C519" s="113"/>
      <c r="D519" s="113"/>
      <c r="E519" s="185"/>
      <c r="F519" s="185"/>
    </row>
    <row r="520" spans="1:6" ht="13">
      <c r="A520" s="130"/>
      <c r="B520" s="257" t="s">
        <v>283</v>
      </c>
      <c r="C520" s="237"/>
      <c r="D520" s="237"/>
      <c r="E520" s="186"/>
      <c r="F520" s="186"/>
    </row>
    <row r="521" spans="1:6" ht="13">
      <c r="A521" s="130"/>
      <c r="B521" s="257"/>
      <c r="C521" s="237"/>
      <c r="D521" s="237"/>
      <c r="E521" s="186"/>
      <c r="F521" s="186"/>
    </row>
    <row r="522" spans="1:6">
      <c r="A522" s="130"/>
      <c r="B522" s="237" t="s">
        <v>279</v>
      </c>
      <c r="C522" s="130" t="s">
        <v>149</v>
      </c>
      <c r="D522" s="265">
        <f>21</f>
        <v>21</v>
      </c>
      <c r="E522" s="186"/>
      <c r="F522" s="186">
        <f>D522*E522</f>
        <v>0</v>
      </c>
    </row>
    <row r="523" spans="1:6">
      <c r="A523" s="130"/>
      <c r="B523" s="237"/>
      <c r="C523" s="130"/>
      <c r="D523" s="265"/>
      <c r="E523" s="186"/>
      <c r="F523" s="186">
        <f t="shared" ref="F523:F542" si="12">D523*E523</f>
        <v>0</v>
      </c>
    </row>
    <row r="524" spans="1:6">
      <c r="A524" s="130"/>
      <c r="B524" s="237" t="s">
        <v>258</v>
      </c>
      <c r="C524" s="130" t="s">
        <v>54</v>
      </c>
      <c r="D524" s="265">
        <f>D522</f>
        <v>21</v>
      </c>
      <c r="E524" s="186"/>
      <c r="F524" s="186">
        <f t="shared" si="12"/>
        <v>0</v>
      </c>
    </row>
    <row r="525" spans="1:6">
      <c r="A525" s="130"/>
      <c r="B525" s="237"/>
      <c r="C525" s="130"/>
      <c r="D525" s="265"/>
      <c r="E525" s="186"/>
      <c r="F525" s="186">
        <f t="shared" si="12"/>
        <v>0</v>
      </c>
    </row>
    <row r="526" spans="1:6">
      <c r="A526" s="130"/>
      <c r="B526" s="237" t="s">
        <v>259</v>
      </c>
      <c r="C526" s="130" t="s">
        <v>149</v>
      </c>
      <c r="D526" s="265">
        <f>D524</f>
        <v>21</v>
      </c>
      <c r="E526" s="186"/>
      <c r="F526" s="186">
        <f t="shared" si="12"/>
        <v>0</v>
      </c>
    </row>
    <row r="527" spans="1:6">
      <c r="A527" s="130"/>
      <c r="B527" s="237"/>
      <c r="C527" s="130"/>
      <c r="D527" s="265"/>
      <c r="E527" s="186"/>
      <c r="F527" s="186">
        <f t="shared" si="12"/>
        <v>0</v>
      </c>
    </row>
    <row r="528" spans="1:6">
      <c r="A528" s="130"/>
      <c r="B528" s="237" t="s">
        <v>260</v>
      </c>
      <c r="C528" s="130" t="s">
        <v>149</v>
      </c>
      <c r="D528" s="265">
        <f>(6.5*2+4*2)*2.7</f>
        <v>56.7</v>
      </c>
      <c r="E528" s="186"/>
      <c r="F528" s="186">
        <f t="shared" si="12"/>
        <v>0</v>
      </c>
    </row>
    <row r="529" spans="1:6">
      <c r="A529" s="130"/>
      <c r="B529" s="237"/>
      <c r="C529" s="130"/>
      <c r="D529" s="265"/>
      <c r="E529" s="186"/>
      <c r="F529" s="186">
        <f t="shared" si="12"/>
        <v>0</v>
      </c>
    </row>
    <row r="530" spans="1:6">
      <c r="A530" s="130"/>
      <c r="B530" s="141" t="s">
        <v>273</v>
      </c>
      <c r="C530" s="130" t="s">
        <v>149</v>
      </c>
      <c r="D530" s="265">
        <f>D528</f>
        <v>56.7</v>
      </c>
      <c r="E530" s="186"/>
      <c r="F530" s="186">
        <f t="shared" si="12"/>
        <v>0</v>
      </c>
    </row>
    <row r="531" spans="1:6">
      <c r="A531" s="130"/>
      <c r="B531" s="237"/>
      <c r="C531" s="130"/>
      <c r="D531" s="265"/>
      <c r="E531" s="186"/>
      <c r="F531" s="186">
        <f t="shared" si="12"/>
        <v>0</v>
      </c>
    </row>
    <row r="532" spans="1:6" ht="37.5">
      <c r="A532" s="130"/>
      <c r="B532" s="266" t="s">
        <v>284</v>
      </c>
      <c r="C532" s="130" t="s">
        <v>139</v>
      </c>
      <c r="D532" s="265">
        <v>1</v>
      </c>
      <c r="E532" s="186"/>
      <c r="F532" s="186">
        <f t="shared" si="12"/>
        <v>0</v>
      </c>
    </row>
    <row r="533" spans="1:6">
      <c r="A533" s="130"/>
      <c r="B533" s="237"/>
      <c r="C533" s="130"/>
      <c r="D533" s="265"/>
      <c r="E533" s="186"/>
      <c r="F533" s="186">
        <f t="shared" si="12"/>
        <v>0</v>
      </c>
    </row>
    <row r="534" spans="1:6">
      <c r="A534" s="130"/>
      <c r="B534" s="237" t="s">
        <v>285</v>
      </c>
      <c r="C534" s="130" t="s">
        <v>149</v>
      </c>
      <c r="D534" s="265">
        <f>(2.2*0.95)*1</f>
        <v>2.09</v>
      </c>
      <c r="E534" s="186"/>
      <c r="F534" s="186">
        <f t="shared" si="12"/>
        <v>0</v>
      </c>
    </row>
    <row r="535" spans="1:6">
      <c r="A535" s="130"/>
      <c r="B535" s="237"/>
      <c r="C535" s="238"/>
      <c r="D535" s="237"/>
      <c r="E535" s="186"/>
      <c r="F535" s="186">
        <f t="shared" si="12"/>
        <v>0</v>
      </c>
    </row>
    <row r="536" spans="1:6">
      <c r="A536" s="130"/>
      <c r="B536" s="237" t="s">
        <v>286</v>
      </c>
      <c r="C536" s="238" t="s">
        <v>149</v>
      </c>
      <c r="D536" s="265">
        <f>D534</f>
        <v>2.09</v>
      </c>
      <c r="E536" s="186"/>
      <c r="F536" s="186">
        <f t="shared" si="12"/>
        <v>0</v>
      </c>
    </row>
    <row r="537" spans="1:6">
      <c r="A537" s="130"/>
      <c r="B537" s="237"/>
      <c r="C537" s="238"/>
      <c r="D537" s="237"/>
      <c r="E537" s="186"/>
      <c r="F537" s="186">
        <f t="shared" si="12"/>
        <v>0</v>
      </c>
    </row>
    <row r="538" spans="1:6">
      <c r="A538" s="130"/>
      <c r="B538" s="237" t="s">
        <v>267</v>
      </c>
      <c r="C538" s="130" t="s">
        <v>149</v>
      </c>
      <c r="D538" s="265">
        <f>6.5*4</f>
        <v>26</v>
      </c>
      <c r="E538" s="186"/>
      <c r="F538" s="186">
        <f t="shared" si="12"/>
        <v>0</v>
      </c>
    </row>
    <row r="539" spans="1:6">
      <c r="A539" s="130"/>
      <c r="B539" s="237"/>
      <c r="C539" s="130"/>
      <c r="D539" s="265"/>
      <c r="E539" s="186"/>
      <c r="F539" s="186">
        <f t="shared" si="12"/>
        <v>0</v>
      </c>
    </row>
    <row r="540" spans="1:6">
      <c r="A540" s="130"/>
      <c r="B540" s="141" t="s">
        <v>268</v>
      </c>
      <c r="C540" s="130" t="s">
        <v>149</v>
      </c>
      <c r="D540" s="265">
        <f>D538</f>
        <v>26</v>
      </c>
      <c r="E540" s="186"/>
      <c r="F540" s="186">
        <f t="shared" si="12"/>
        <v>0</v>
      </c>
    </row>
    <row r="541" spans="1:6">
      <c r="A541" s="130"/>
      <c r="B541" s="141"/>
      <c r="C541" s="130"/>
      <c r="D541" s="265"/>
      <c r="E541" s="186"/>
      <c r="F541" s="186">
        <f t="shared" si="12"/>
        <v>0</v>
      </c>
    </row>
    <row r="542" spans="1:6">
      <c r="A542" s="130"/>
      <c r="B542" s="141" t="s">
        <v>269</v>
      </c>
      <c r="C542" s="130" t="s">
        <v>54</v>
      </c>
      <c r="D542" s="265">
        <v>21</v>
      </c>
      <c r="E542" s="186"/>
      <c r="F542" s="186">
        <f t="shared" si="12"/>
        <v>0</v>
      </c>
    </row>
    <row r="543" spans="1:6" ht="13" thickBot="1">
      <c r="A543" s="116"/>
      <c r="B543" s="202"/>
      <c r="C543" s="116"/>
      <c r="D543" s="116"/>
      <c r="E543" s="193"/>
      <c r="F543" s="193"/>
    </row>
    <row r="544" spans="1:6" ht="13.5" thickBot="1">
      <c r="A544" s="200"/>
      <c r="B544" s="264" t="s">
        <v>216</v>
      </c>
      <c r="C544" s="264"/>
      <c r="D544" s="264"/>
      <c r="E544" s="264"/>
      <c r="F544" s="124">
        <f>SUM(F522:F542)</f>
        <v>0</v>
      </c>
    </row>
    <row r="545" spans="1:6">
      <c r="A545" s="113"/>
      <c r="B545" s="201"/>
      <c r="C545" s="113"/>
      <c r="D545" s="113"/>
      <c r="E545" s="185"/>
      <c r="F545" s="185"/>
    </row>
    <row r="546" spans="1:6" ht="13">
      <c r="A546" s="130"/>
      <c r="B546" s="257" t="s">
        <v>287</v>
      </c>
      <c r="C546" s="237"/>
      <c r="D546" s="237"/>
      <c r="E546" s="186"/>
      <c r="F546" s="186"/>
    </row>
    <row r="547" spans="1:6" ht="13">
      <c r="A547" s="130"/>
      <c r="B547" s="257"/>
      <c r="C547" s="237"/>
      <c r="D547" s="237"/>
      <c r="E547" s="186"/>
      <c r="F547" s="186"/>
    </row>
    <row r="548" spans="1:6">
      <c r="A548" s="130"/>
      <c r="B548" s="237" t="s">
        <v>288</v>
      </c>
      <c r="C548" s="130" t="s">
        <v>64</v>
      </c>
      <c r="D548" s="265">
        <v>1</v>
      </c>
      <c r="E548" s="186"/>
      <c r="F548" s="186">
        <f>D548*E548</f>
        <v>0</v>
      </c>
    </row>
    <row r="549" spans="1:6">
      <c r="A549" s="130"/>
      <c r="B549" s="237"/>
      <c r="C549" s="130"/>
      <c r="D549" s="265"/>
      <c r="E549" s="186"/>
      <c r="F549" s="186">
        <f t="shared" ref="F549:F556" si="13">D549*E549</f>
        <v>0</v>
      </c>
    </row>
    <row r="550" spans="1:6" ht="37.5">
      <c r="A550" s="130"/>
      <c r="B550" s="266" t="s">
        <v>284</v>
      </c>
      <c r="C550" s="130" t="s">
        <v>139</v>
      </c>
      <c r="D550" s="265">
        <v>1</v>
      </c>
      <c r="E550" s="186"/>
      <c r="F550" s="186">
        <f t="shared" si="13"/>
        <v>0</v>
      </c>
    </row>
    <row r="551" spans="1:6">
      <c r="A551" s="130"/>
      <c r="B551" s="237"/>
      <c r="C551" s="130"/>
      <c r="D551" s="265"/>
      <c r="E551" s="186"/>
      <c r="F551" s="186">
        <f t="shared" si="13"/>
        <v>0</v>
      </c>
    </row>
    <row r="552" spans="1:6">
      <c r="A552" s="130"/>
      <c r="B552" s="237" t="s">
        <v>267</v>
      </c>
      <c r="C552" s="130" t="s">
        <v>149</v>
      </c>
      <c r="D552" s="265">
        <f>6.5*4</f>
        <v>26</v>
      </c>
      <c r="E552" s="186"/>
      <c r="F552" s="186">
        <f t="shared" si="13"/>
        <v>0</v>
      </c>
    </row>
    <row r="553" spans="1:6">
      <c r="A553" s="130"/>
      <c r="B553" s="237"/>
      <c r="C553" s="130"/>
      <c r="D553" s="265"/>
      <c r="E553" s="186"/>
      <c r="F553" s="186">
        <f t="shared" si="13"/>
        <v>0</v>
      </c>
    </row>
    <row r="554" spans="1:6">
      <c r="A554" s="130"/>
      <c r="B554" s="141" t="s">
        <v>268</v>
      </c>
      <c r="C554" s="130" t="s">
        <v>149</v>
      </c>
      <c r="D554" s="265">
        <f>D552</f>
        <v>26</v>
      </c>
      <c r="E554" s="186"/>
      <c r="F554" s="186">
        <f t="shared" si="13"/>
        <v>0</v>
      </c>
    </row>
    <row r="555" spans="1:6">
      <c r="A555" s="130"/>
      <c r="B555" s="141"/>
      <c r="C555" s="130"/>
      <c r="D555" s="265"/>
      <c r="E555" s="186"/>
      <c r="F555" s="186">
        <f t="shared" si="13"/>
        <v>0</v>
      </c>
    </row>
    <row r="556" spans="1:6">
      <c r="A556" s="130"/>
      <c r="B556" s="141" t="s">
        <v>269</v>
      </c>
      <c r="C556" s="130" t="s">
        <v>54</v>
      </c>
      <c r="D556" s="265">
        <v>21</v>
      </c>
      <c r="E556" s="186"/>
      <c r="F556" s="186">
        <f t="shared" si="13"/>
        <v>0</v>
      </c>
    </row>
    <row r="557" spans="1:6" ht="13" thickBot="1">
      <c r="A557" s="116"/>
      <c r="B557" s="202"/>
      <c r="C557" s="116"/>
      <c r="D557" s="116"/>
      <c r="E557" s="193"/>
      <c r="F557" s="193"/>
    </row>
    <row r="558" spans="1:6" ht="13.5" thickBot="1">
      <c r="A558" s="200"/>
      <c r="B558" s="264" t="s">
        <v>216</v>
      </c>
      <c r="C558" s="264"/>
      <c r="D558" s="264"/>
      <c r="E558" s="264"/>
      <c r="F558" s="124">
        <f>SUM(F548:F556)</f>
        <v>0</v>
      </c>
    </row>
    <row r="559" spans="1:6">
      <c r="A559" s="113"/>
      <c r="B559" s="201"/>
      <c r="C559" s="113"/>
      <c r="D559" s="113"/>
      <c r="E559" s="185"/>
      <c r="F559" s="185"/>
    </row>
    <row r="560" spans="1:6" ht="13">
      <c r="A560" s="130"/>
      <c r="B560" s="257" t="s">
        <v>289</v>
      </c>
      <c r="C560" s="237"/>
      <c r="D560" s="237"/>
      <c r="E560" s="186"/>
      <c r="F560" s="186"/>
    </row>
    <row r="561" spans="1:6" ht="13">
      <c r="A561" s="130"/>
      <c r="B561" s="257"/>
      <c r="C561" s="237"/>
      <c r="D561" s="237"/>
      <c r="E561" s="186"/>
      <c r="F561" s="186"/>
    </row>
    <row r="562" spans="1:6">
      <c r="A562" s="130"/>
      <c r="B562" s="237" t="s">
        <v>279</v>
      </c>
      <c r="C562" s="130" t="s">
        <v>54</v>
      </c>
      <c r="D562" s="265">
        <f>21</f>
        <v>21</v>
      </c>
      <c r="E562" s="186"/>
      <c r="F562" s="186">
        <f>D562*E562</f>
        <v>0</v>
      </c>
    </row>
    <row r="563" spans="1:6">
      <c r="A563" s="130"/>
      <c r="B563" s="237"/>
      <c r="C563" s="130"/>
      <c r="D563" s="265"/>
      <c r="E563" s="186"/>
      <c r="F563" s="186">
        <f t="shared" ref="F563:F576" si="14">D563*E563</f>
        <v>0</v>
      </c>
    </row>
    <row r="564" spans="1:6">
      <c r="A564" s="130"/>
      <c r="B564" s="237" t="s">
        <v>258</v>
      </c>
      <c r="C564" s="130" t="s">
        <v>54</v>
      </c>
      <c r="D564" s="265">
        <f>D562</f>
        <v>21</v>
      </c>
      <c r="E564" s="186"/>
      <c r="F564" s="186">
        <f t="shared" si="14"/>
        <v>0</v>
      </c>
    </row>
    <row r="565" spans="1:6">
      <c r="A565" s="130"/>
      <c r="B565" s="237"/>
      <c r="C565" s="130"/>
      <c r="D565" s="265"/>
      <c r="E565" s="186"/>
      <c r="F565" s="186">
        <f t="shared" si="14"/>
        <v>0</v>
      </c>
    </row>
    <row r="566" spans="1:6">
      <c r="A566" s="130"/>
      <c r="B566" s="237" t="s">
        <v>259</v>
      </c>
      <c r="C566" s="130" t="s">
        <v>149</v>
      </c>
      <c r="D566" s="265">
        <f>D564</f>
        <v>21</v>
      </c>
      <c r="E566" s="186"/>
      <c r="F566" s="186">
        <f t="shared" si="14"/>
        <v>0</v>
      </c>
    </row>
    <row r="567" spans="1:6">
      <c r="A567" s="130"/>
      <c r="B567" s="237"/>
      <c r="C567" s="130"/>
      <c r="D567" s="265"/>
      <c r="E567" s="186"/>
      <c r="F567" s="186">
        <f t="shared" si="14"/>
        <v>0</v>
      </c>
    </row>
    <row r="568" spans="1:6">
      <c r="A568" s="130"/>
      <c r="B568" s="237" t="s">
        <v>260</v>
      </c>
      <c r="C568" s="130" t="s">
        <v>149</v>
      </c>
      <c r="D568" s="265">
        <f>(6.5*2+4*2)*2.7</f>
        <v>56.7</v>
      </c>
      <c r="E568" s="186"/>
      <c r="F568" s="186">
        <f t="shared" si="14"/>
        <v>0</v>
      </c>
    </row>
    <row r="569" spans="1:6">
      <c r="A569" s="130"/>
      <c r="B569" s="237"/>
      <c r="C569" s="130"/>
      <c r="D569" s="265"/>
      <c r="E569" s="186"/>
      <c r="F569" s="186">
        <f t="shared" si="14"/>
        <v>0</v>
      </c>
    </row>
    <row r="570" spans="1:6">
      <c r="A570" s="130"/>
      <c r="B570" s="141" t="s">
        <v>273</v>
      </c>
      <c r="C570" s="130" t="s">
        <v>149</v>
      </c>
      <c r="D570" s="265">
        <f>D568</f>
        <v>56.7</v>
      </c>
      <c r="E570" s="186"/>
      <c r="F570" s="186">
        <f t="shared" si="14"/>
        <v>0</v>
      </c>
    </row>
    <row r="571" spans="1:6">
      <c r="A571" s="130"/>
      <c r="B571" s="237"/>
      <c r="C571" s="130"/>
      <c r="D571" s="265"/>
      <c r="E571" s="186"/>
      <c r="F571" s="186">
        <f t="shared" si="14"/>
        <v>0</v>
      </c>
    </row>
    <row r="572" spans="1:6">
      <c r="A572" s="130"/>
      <c r="B572" s="237" t="s">
        <v>267</v>
      </c>
      <c r="C572" s="130" t="s">
        <v>149</v>
      </c>
      <c r="D572" s="265">
        <f>6.5*4</f>
        <v>26</v>
      </c>
      <c r="E572" s="186"/>
      <c r="F572" s="186">
        <f t="shared" si="14"/>
        <v>0</v>
      </c>
    </row>
    <row r="573" spans="1:6">
      <c r="A573" s="130"/>
      <c r="B573" s="237"/>
      <c r="C573" s="130"/>
      <c r="D573" s="265"/>
      <c r="E573" s="186"/>
      <c r="F573" s="186">
        <f t="shared" si="14"/>
        <v>0</v>
      </c>
    </row>
    <row r="574" spans="1:6">
      <c r="A574" s="130"/>
      <c r="B574" s="141" t="s">
        <v>268</v>
      </c>
      <c r="C574" s="130" t="s">
        <v>149</v>
      </c>
      <c r="D574" s="265">
        <f>D572</f>
        <v>26</v>
      </c>
      <c r="E574" s="186"/>
      <c r="F574" s="186">
        <f t="shared" si="14"/>
        <v>0</v>
      </c>
    </row>
    <row r="575" spans="1:6">
      <c r="A575" s="130"/>
      <c r="B575" s="141"/>
      <c r="C575" s="130"/>
      <c r="D575" s="265"/>
      <c r="E575" s="186"/>
      <c r="F575" s="186">
        <f t="shared" si="14"/>
        <v>0</v>
      </c>
    </row>
    <row r="576" spans="1:6">
      <c r="A576" s="130"/>
      <c r="B576" s="141" t="s">
        <v>269</v>
      </c>
      <c r="C576" s="130" t="s">
        <v>54</v>
      </c>
      <c r="D576" s="265">
        <v>21</v>
      </c>
      <c r="E576" s="186"/>
      <c r="F576" s="186">
        <f t="shared" si="14"/>
        <v>0</v>
      </c>
    </row>
    <row r="577" spans="1:6" ht="13" thickBot="1">
      <c r="A577" s="116"/>
      <c r="B577" s="202"/>
      <c r="C577" s="116"/>
      <c r="D577" s="116"/>
      <c r="E577" s="193"/>
      <c r="F577" s="193"/>
    </row>
    <row r="578" spans="1:6" ht="13.5" thickBot="1">
      <c r="A578" s="200"/>
      <c r="B578" s="264" t="s">
        <v>216</v>
      </c>
      <c r="C578" s="264"/>
      <c r="D578" s="264"/>
      <c r="E578" s="264"/>
      <c r="F578" s="124">
        <f>SUM(F562:F576)</f>
        <v>0</v>
      </c>
    </row>
    <row r="579" spans="1:6">
      <c r="A579" s="113"/>
      <c r="B579" s="201"/>
      <c r="C579" s="113"/>
      <c r="D579" s="113"/>
      <c r="E579" s="185"/>
      <c r="F579" s="185"/>
    </row>
    <row r="580" spans="1:6" ht="13">
      <c r="A580" s="130"/>
      <c r="B580" s="257" t="s">
        <v>290</v>
      </c>
      <c r="C580" s="237"/>
      <c r="D580" s="237"/>
      <c r="E580" s="186"/>
      <c r="F580" s="186"/>
    </row>
    <row r="581" spans="1:6" ht="13">
      <c r="A581" s="130"/>
      <c r="B581" s="257"/>
      <c r="C581" s="237"/>
      <c r="D581" s="237"/>
      <c r="E581" s="186"/>
      <c r="F581" s="186"/>
    </row>
    <row r="582" spans="1:6">
      <c r="A582" s="130"/>
      <c r="B582" s="237" t="s">
        <v>271</v>
      </c>
      <c r="C582" s="238" t="s">
        <v>149</v>
      </c>
      <c r="D582" s="265">
        <f>6.5*5</f>
        <v>32.5</v>
      </c>
      <c r="E582" s="186"/>
      <c r="F582" s="186">
        <f>D582*E582</f>
        <v>0</v>
      </c>
    </row>
    <row r="583" spans="1:6">
      <c r="A583" s="130"/>
      <c r="B583" s="237"/>
      <c r="C583" s="238"/>
      <c r="D583" s="265"/>
      <c r="E583" s="186"/>
      <c r="F583" s="186">
        <f t="shared" ref="F583:F600" si="15">D583*E583</f>
        <v>0</v>
      </c>
    </row>
    <row r="584" spans="1:6" ht="37.5">
      <c r="A584" s="130"/>
      <c r="B584" s="266" t="s">
        <v>257</v>
      </c>
      <c r="C584" s="238" t="s">
        <v>149</v>
      </c>
      <c r="D584" s="265">
        <f>D582</f>
        <v>32.5</v>
      </c>
      <c r="E584" s="186"/>
      <c r="F584" s="186">
        <f t="shared" si="15"/>
        <v>0</v>
      </c>
    </row>
    <row r="585" spans="1:6">
      <c r="A585" s="130"/>
      <c r="B585" s="237"/>
      <c r="C585" s="237"/>
      <c r="D585" s="237"/>
      <c r="E585" s="186"/>
      <c r="F585" s="186">
        <f t="shared" si="15"/>
        <v>0</v>
      </c>
    </row>
    <row r="586" spans="1:6">
      <c r="A586" s="130"/>
      <c r="B586" s="237" t="s">
        <v>260</v>
      </c>
      <c r="C586" s="130" t="s">
        <v>149</v>
      </c>
      <c r="D586" s="265">
        <f>(6.5*2+5*2)*2.7</f>
        <v>62.1</v>
      </c>
      <c r="E586" s="186"/>
      <c r="F586" s="186">
        <f t="shared" si="15"/>
        <v>0</v>
      </c>
    </row>
    <row r="587" spans="1:6">
      <c r="A587" s="130"/>
      <c r="B587" s="237"/>
      <c r="C587" s="130"/>
      <c r="D587" s="237"/>
      <c r="E587" s="186"/>
      <c r="F587" s="186">
        <f t="shared" si="15"/>
        <v>0</v>
      </c>
    </row>
    <row r="588" spans="1:6">
      <c r="A588" s="130"/>
      <c r="B588" s="141" t="s">
        <v>273</v>
      </c>
      <c r="C588" s="130" t="s">
        <v>149</v>
      </c>
      <c r="D588" s="265">
        <f>D586</f>
        <v>62.1</v>
      </c>
      <c r="E588" s="186"/>
      <c r="F588" s="186">
        <f t="shared" si="15"/>
        <v>0</v>
      </c>
    </row>
    <row r="589" spans="1:6">
      <c r="A589" s="130"/>
      <c r="B589" s="237"/>
      <c r="C589" s="130"/>
      <c r="D589" s="237"/>
      <c r="E589" s="186"/>
      <c r="F589" s="186">
        <f t="shared" si="15"/>
        <v>0</v>
      </c>
    </row>
    <row r="590" spans="1:6">
      <c r="A590" s="130"/>
      <c r="B590" s="237" t="s">
        <v>291</v>
      </c>
      <c r="C590" s="130" t="s">
        <v>149</v>
      </c>
      <c r="D590" s="237">
        <f>(2*2)*0</f>
        <v>0</v>
      </c>
      <c r="E590" s="186"/>
      <c r="F590" s="186">
        <f t="shared" si="15"/>
        <v>0</v>
      </c>
    </row>
    <row r="591" spans="1:6">
      <c r="A591" s="130"/>
      <c r="B591" s="237"/>
      <c r="C591" s="130"/>
      <c r="D591" s="237"/>
      <c r="E591" s="186"/>
      <c r="F591" s="186">
        <f t="shared" si="15"/>
        <v>0</v>
      </c>
    </row>
    <row r="592" spans="1:6">
      <c r="A592" s="130"/>
      <c r="B592" s="237" t="s">
        <v>292</v>
      </c>
      <c r="C592" s="130" t="s">
        <v>149</v>
      </c>
      <c r="D592" s="265">
        <f>D590</f>
        <v>0</v>
      </c>
      <c r="E592" s="186"/>
      <c r="F592" s="186">
        <f t="shared" si="15"/>
        <v>0</v>
      </c>
    </row>
    <row r="593" spans="1:6">
      <c r="A593" s="130"/>
      <c r="B593" s="237"/>
      <c r="C593" s="130"/>
      <c r="D593" s="237"/>
      <c r="E593" s="186"/>
      <c r="F593" s="186">
        <f t="shared" si="15"/>
        <v>0</v>
      </c>
    </row>
    <row r="594" spans="1:6" ht="37.5">
      <c r="A594" s="130"/>
      <c r="B594" s="266" t="s">
        <v>265</v>
      </c>
      <c r="C594" s="130" t="s">
        <v>139</v>
      </c>
      <c r="D594" s="265">
        <v>1</v>
      </c>
      <c r="E594" s="186"/>
      <c r="F594" s="186">
        <f t="shared" si="15"/>
        <v>0</v>
      </c>
    </row>
    <row r="595" spans="1:6">
      <c r="A595" s="130"/>
      <c r="B595" s="237"/>
      <c r="C595" s="130"/>
      <c r="D595" s="237"/>
      <c r="E595" s="186"/>
      <c r="F595" s="186">
        <f t="shared" si="15"/>
        <v>0</v>
      </c>
    </row>
    <row r="596" spans="1:6">
      <c r="A596" s="130"/>
      <c r="B596" s="237" t="s">
        <v>267</v>
      </c>
      <c r="C596" s="130" t="s">
        <v>149</v>
      </c>
      <c r="D596" s="265">
        <v>32.5</v>
      </c>
      <c r="E596" s="186"/>
      <c r="F596" s="186">
        <f t="shared" si="15"/>
        <v>0</v>
      </c>
    </row>
    <row r="597" spans="1:6">
      <c r="A597" s="130"/>
      <c r="B597" s="237"/>
      <c r="C597" s="130"/>
      <c r="D597" s="265"/>
      <c r="E597" s="186"/>
      <c r="F597" s="186">
        <f t="shared" si="15"/>
        <v>0</v>
      </c>
    </row>
    <row r="598" spans="1:6">
      <c r="A598" s="130"/>
      <c r="B598" s="141" t="s">
        <v>268</v>
      </c>
      <c r="C598" s="130" t="s">
        <v>149</v>
      </c>
      <c r="D598" s="265">
        <f>D596</f>
        <v>32.5</v>
      </c>
      <c r="E598" s="186"/>
      <c r="F598" s="186">
        <f t="shared" si="15"/>
        <v>0</v>
      </c>
    </row>
    <row r="599" spans="1:6">
      <c r="A599" s="130"/>
      <c r="B599" s="141"/>
      <c r="C599" s="130"/>
      <c r="D599" s="265"/>
      <c r="E599" s="186"/>
      <c r="F599" s="186">
        <f t="shared" si="15"/>
        <v>0</v>
      </c>
    </row>
    <row r="600" spans="1:6">
      <c r="A600" s="130"/>
      <c r="B600" s="141" t="s">
        <v>269</v>
      </c>
      <c r="C600" s="130" t="s">
        <v>54</v>
      </c>
      <c r="D600" s="265">
        <v>23</v>
      </c>
      <c r="E600" s="186"/>
      <c r="F600" s="186">
        <f t="shared" si="15"/>
        <v>0</v>
      </c>
    </row>
    <row r="601" spans="1:6" ht="13" thickBot="1">
      <c r="A601" s="116"/>
      <c r="B601" s="202"/>
      <c r="C601" s="116"/>
      <c r="D601" s="116"/>
      <c r="E601" s="193"/>
      <c r="F601" s="186"/>
    </row>
    <row r="602" spans="1:6" ht="13.5" thickBot="1">
      <c r="A602" s="200"/>
      <c r="B602" s="264" t="s">
        <v>216</v>
      </c>
      <c r="C602" s="264"/>
      <c r="D602" s="264"/>
      <c r="E602" s="264"/>
      <c r="F602" s="124">
        <f>SUM(F582:F600)</f>
        <v>0</v>
      </c>
    </row>
    <row r="603" spans="1:6">
      <c r="A603" s="113"/>
      <c r="B603" s="201"/>
      <c r="C603" s="113"/>
      <c r="D603" s="113"/>
      <c r="E603" s="185"/>
      <c r="F603" s="185"/>
    </row>
    <row r="604" spans="1:6" ht="13">
      <c r="A604" s="130"/>
      <c r="B604" s="257" t="s">
        <v>293</v>
      </c>
      <c r="C604" s="268"/>
      <c r="D604" s="268"/>
      <c r="E604" s="186"/>
      <c r="F604" s="186"/>
    </row>
    <row r="605" spans="1:6" ht="13">
      <c r="A605" s="130"/>
      <c r="B605" s="268"/>
      <c r="C605" s="268"/>
      <c r="D605" s="268"/>
      <c r="E605" s="186"/>
      <c r="F605" s="186"/>
    </row>
    <row r="606" spans="1:6">
      <c r="A606" s="130"/>
      <c r="B606" s="237" t="s">
        <v>260</v>
      </c>
      <c r="C606" s="130" t="s">
        <v>149</v>
      </c>
      <c r="D606" s="265">
        <f>(6*2+5*2)*2.7</f>
        <v>59.400000000000006</v>
      </c>
      <c r="E606" s="186"/>
      <c r="F606" s="186">
        <f>D606*E606</f>
        <v>0</v>
      </c>
    </row>
    <row r="607" spans="1:6">
      <c r="A607" s="130"/>
      <c r="B607" s="237"/>
      <c r="C607" s="130"/>
      <c r="D607" s="237"/>
      <c r="E607" s="186"/>
      <c r="F607" s="186">
        <f t="shared" ref="F607:F612" si="16">D607*E607</f>
        <v>0</v>
      </c>
    </row>
    <row r="608" spans="1:6">
      <c r="A608" s="130"/>
      <c r="B608" s="141" t="s">
        <v>273</v>
      </c>
      <c r="C608" s="130" t="s">
        <v>149</v>
      </c>
      <c r="D608" s="265">
        <f>D606</f>
        <v>59.400000000000006</v>
      </c>
      <c r="E608" s="186"/>
      <c r="F608" s="186">
        <f t="shared" si="16"/>
        <v>0</v>
      </c>
    </row>
    <row r="609" spans="1:6" ht="13">
      <c r="A609" s="130"/>
      <c r="B609" s="268"/>
      <c r="C609" s="268"/>
      <c r="D609" s="268"/>
      <c r="E609" s="186"/>
      <c r="F609" s="186">
        <f t="shared" si="16"/>
        <v>0</v>
      </c>
    </row>
    <row r="610" spans="1:6">
      <c r="A610" s="130"/>
      <c r="B610" s="237" t="s">
        <v>294</v>
      </c>
      <c r="C610" s="130" t="s">
        <v>149</v>
      </c>
      <c r="D610" s="237">
        <f>(2*2)*0</f>
        <v>0</v>
      </c>
      <c r="E610" s="186"/>
      <c r="F610" s="186">
        <f t="shared" si="16"/>
        <v>0</v>
      </c>
    </row>
    <row r="611" spans="1:6">
      <c r="A611" s="130"/>
      <c r="B611" s="237"/>
      <c r="C611" s="130"/>
      <c r="D611" s="237"/>
      <c r="E611" s="186"/>
      <c r="F611" s="186">
        <f t="shared" si="16"/>
        <v>0</v>
      </c>
    </row>
    <row r="612" spans="1:6">
      <c r="A612" s="130"/>
      <c r="B612" s="237" t="s">
        <v>295</v>
      </c>
      <c r="C612" s="130" t="s">
        <v>149</v>
      </c>
      <c r="D612" s="265">
        <f>4*0</f>
        <v>0</v>
      </c>
      <c r="E612" s="186"/>
      <c r="F612" s="186">
        <f t="shared" si="16"/>
        <v>0</v>
      </c>
    </row>
    <row r="613" spans="1:6" ht="13" thickBot="1">
      <c r="A613" s="116"/>
      <c r="B613" s="202"/>
      <c r="C613" s="116"/>
      <c r="D613" s="116"/>
      <c r="E613" s="193"/>
      <c r="F613" s="193"/>
    </row>
    <row r="614" spans="1:6" ht="13.5" thickBot="1">
      <c r="A614" s="200"/>
      <c r="B614" s="264" t="s">
        <v>216</v>
      </c>
      <c r="C614" s="264"/>
      <c r="D614" s="264"/>
      <c r="E614" s="264"/>
      <c r="F614" s="124">
        <f>SUM(F606:F612)</f>
        <v>0</v>
      </c>
    </row>
    <row r="615" spans="1:6">
      <c r="A615" s="113"/>
      <c r="B615" s="201"/>
      <c r="C615" s="113"/>
      <c r="D615" s="113"/>
      <c r="E615" s="185"/>
      <c r="F615" s="185"/>
    </row>
    <row r="616" spans="1:6" ht="13">
      <c r="A616" s="130"/>
      <c r="B616" s="257" t="s">
        <v>296</v>
      </c>
      <c r="C616" s="268"/>
      <c r="D616" s="268"/>
      <c r="E616" s="186"/>
      <c r="F616" s="186"/>
    </row>
    <row r="617" spans="1:6" ht="13">
      <c r="A617" s="130"/>
      <c r="B617" s="268"/>
      <c r="C617" s="268"/>
      <c r="D617" s="268"/>
      <c r="E617" s="186"/>
      <c r="F617" s="186"/>
    </row>
    <row r="618" spans="1:6">
      <c r="A618" s="130"/>
      <c r="B618" s="237" t="s">
        <v>260</v>
      </c>
      <c r="C618" s="130" t="s">
        <v>149</v>
      </c>
      <c r="D618" s="265">
        <f>((8*2+8*2)*2.7)*0</f>
        <v>0</v>
      </c>
      <c r="E618" s="186"/>
      <c r="F618" s="186">
        <f>D618*E618</f>
        <v>0</v>
      </c>
    </row>
    <row r="619" spans="1:6">
      <c r="A619" s="130"/>
      <c r="B619" s="237"/>
      <c r="C619" s="130"/>
      <c r="D619" s="237"/>
      <c r="E619" s="186"/>
      <c r="F619" s="186">
        <f t="shared" ref="F619:F620" si="17">D619*E619</f>
        <v>0</v>
      </c>
    </row>
    <row r="620" spans="1:6">
      <c r="A620" s="130"/>
      <c r="B620" s="141" t="s">
        <v>273</v>
      </c>
      <c r="C620" s="130" t="s">
        <v>149</v>
      </c>
      <c r="D620" s="265">
        <f>D618</f>
        <v>0</v>
      </c>
      <c r="E620" s="186"/>
      <c r="F620" s="186">
        <f t="shared" si="17"/>
        <v>0</v>
      </c>
    </row>
    <row r="621" spans="1:6" ht="13">
      <c r="A621" s="130"/>
      <c r="B621" s="268"/>
      <c r="C621" s="268"/>
      <c r="D621" s="268"/>
      <c r="E621" s="186"/>
      <c r="F621" s="186"/>
    </row>
    <row r="622" spans="1:6" ht="13.5" thickBot="1">
      <c r="A622" s="130"/>
      <c r="B622" s="268"/>
      <c r="C622" s="268"/>
      <c r="D622" s="268"/>
      <c r="E622" s="186"/>
      <c r="F622" s="186"/>
    </row>
    <row r="623" spans="1:6" ht="13.5" thickBot="1">
      <c r="A623" s="200"/>
      <c r="B623" s="264" t="s">
        <v>216</v>
      </c>
      <c r="C623" s="264"/>
      <c r="D623" s="264"/>
      <c r="E623" s="264"/>
      <c r="F623" s="124">
        <f>SUM(F618:F620)</f>
        <v>0</v>
      </c>
    </row>
    <row r="624" spans="1:6" ht="13">
      <c r="A624" s="130"/>
      <c r="B624" s="268"/>
      <c r="C624" s="268"/>
      <c r="D624" s="268"/>
      <c r="E624" s="186"/>
      <c r="F624" s="186"/>
    </row>
    <row r="625" spans="1:6" ht="13">
      <c r="A625" s="130"/>
      <c r="B625" s="257" t="s">
        <v>297</v>
      </c>
      <c r="C625" s="268"/>
      <c r="D625" s="268"/>
      <c r="E625" s="186"/>
      <c r="F625" s="186"/>
    </row>
    <row r="626" spans="1:6" ht="13">
      <c r="A626" s="130"/>
      <c r="B626" s="268"/>
      <c r="C626" s="268"/>
      <c r="D626" s="268"/>
      <c r="E626" s="186"/>
      <c r="F626" s="186"/>
    </row>
    <row r="627" spans="1:6">
      <c r="A627" s="130"/>
      <c r="B627" s="237" t="s">
        <v>260</v>
      </c>
      <c r="C627" s="130" t="s">
        <v>149</v>
      </c>
      <c r="D627" s="265">
        <f>((7*2+4*2)*2.7)*0</f>
        <v>0</v>
      </c>
      <c r="E627" s="186"/>
      <c r="F627" s="186">
        <f>D627*E627</f>
        <v>0</v>
      </c>
    </row>
    <row r="628" spans="1:6">
      <c r="A628" s="130"/>
      <c r="B628" s="237"/>
      <c r="C628" s="130"/>
      <c r="D628" s="237"/>
      <c r="E628" s="186"/>
      <c r="F628" s="186">
        <f t="shared" ref="F628:F629" si="18">D628*E628</f>
        <v>0</v>
      </c>
    </row>
    <row r="629" spans="1:6">
      <c r="A629" s="130"/>
      <c r="B629" s="141" t="s">
        <v>273</v>
      </c>
      <c r="C629" s="130" t="s">
        <v>149</v>
      </c>
      <c r="D629" s="265">
        <f>D627</f>
        <v>0</v>
      </c>
      <c r="E629" s="186"/>
      <c r="F629" s="186">
        <f t="shared" si="18"/>
        <v>0</v>
      </c>
    </row>
    <row r="630" spans="1:6" ht="13">
      <c r="A630" s="130"/>
      <c r="B630" s="268"/>
      <c r="C630" s="268"/>
      <c r="D630" s="268"/>
      <c r="E630" s="186"/>
      <c r="F630" s="186"/>
    </row>
    <row r="631" spans="1:6" ht="13" thickBot="1">
      <c r="A631" s="130"/>
      <c r="B631" s="141"/>
      <c r="C631" s="130"/>
      <c r="D631" s="265"/>
      <c r="E631" s="186"/>
      <c r="F631" s="186"/>
    </row>
    <row r="632" spans="1:6" ht="13.5" thickBot="1">
      <c r="A632" s="200"/>
      <c r="B632" s="264" t="s">
        <v>216</v>
      </c>
      <c r="C632" s="264"/>
      <c r="D632" s="264"/>
      <c r="E632" s="264"/>
      <c r="F632" s="124">
        <f>SUM(F627:F629)</f>
        <v>0</v>
      </c>
    </row>
    <row r="633" spans="1:6" ht="13">
      <c r="A633" s="130"/>
      <c r="B633" s="268"/>
      <c r="C633" s="268"/>
      <c r="D633" s="268"/>
      <c r="E633" s="186"/>
      <c r="F633" s="186"/>
    </row>
    <row r="634" spans="1:6" ht="13">
      <c r="A634" s="130"/>
      <c r="B634" s="257" t="s">
        <v>298</v>
      </c>
      <c r="C634" s="268"/>
      <c r="D634" s="268"/>
      <c r="E634" s="186"/>
      <c r="F634" s="186"/>
    </row>
    <row r="635" spans="1:6" ht="13">
      <c r="A635" s="130"/>
      <c r="B635" s="268"/>
      <c r="C635" s="268"/>
      <c r="D635" s="268"/>
      <c r="E635" s="186"/>
      <c r="F635" s="186"/>
    </row>
    <row r="636" spans="1:6">
      <c r="A636" s="130"/>
      <c r="B636" s="237" t="s">
        <v>260</v>
      </c>
      <c r="C636" s="130" t="s">
        <v>149</v>
      </c>
      <c r="D636" s="265">
        <f>((6*2+3*2)*2.7)*0</f>
        <v>0</v>
      </c>
      <c r="E636" s="186"/>
      <c r="F636" s="186">
        <f>D636*E636</f>
        <v>0</v>
      </c>
    </row>
    <row r="637" spans="1:6">
      <c r="A637" s="130"/>
      <c r="B637" s="237"/>
      <c r="C637" s="130"/>
      <c r="D637" s="237"/>
      <c r="E637" s="186"/>
      <c r="F637" s="186">
        <f t="shared" ref="F637:F638" si="19">D637*E637</f>
        <v>0</v>
      </c>
    </row>
    <row r="638" spans="1:6">
      <c r="A638" s="130"/>
      <c r="B638" s="141" t="s">
        <v>273</v>
      </c>
      <c r="C638" s="130" t="s">
        <v>149</v>
      </c>
      <c r="D638" s="265">
        <f>D636</f>
        <v>0</v>
      </c>
      <c r="E638" s="186"/>
      <c r="F638" s="186">
        <f t="shared" si="19"/>
        <v>0</v>
      </c>
    </row>
    <row r="639" spans="1:6" ht="13.5" thickBot="1">
      <c r="A639" s="130"/>
      <c r="B639" s="268"/>
      <c r="C639" s="268"/>
      <c r="D639" s="268"/>
      <c r="E639" s="186"/>
      <c r="F639" s="186"/>
    </row>
    <row r="640" spans="1:6" ht="13.5" thickBot="1">
      <c r="A640" s="200"/>
      <c r="B640" s="264" t="s">
        <v>216</v>
      </c>
      <c r="C640" s="264"/>
      <c r="D640" s="264"/>
      <c r="E640" s="264"/>
      <c r="F640" s="124">
        <f>SUM(F636:F638)</f>
        <v>0</v>
      </c>
    </row>
    <row r="641" spans="1:6">
      <c r="A641" s="130"/>
      <c r="B641" s="237"/>
      <c r="C641" s="237"/>
      <c r="D641" s="237"/>
      <c r="E641" s="186"/>
      <c r="F641" s="186"/>
    </row>
    <row r="642" spans="1:6" ht="13">
      <c r="A642" s="130"/>
      <c r="B642" s="257" t="s">
        <v>299</v>
      </c>
      <c r="C642" s="237"/>
      <c r="D642" s="237"/>
      <c r="E642" s="186"/>
      <c r="F642" s="186"/>
    </row>
    <row r="643" spans="1:6" ht="13">
      <c r="A643" s="130"/>
      <c r="B643" s="257"/>
      <c r="C643" s="237"/>
      <c r="D643" s="237"/>
      <c r="E643" s="186"/>
      <c r="F643" s="186"/>
    </row>
    <row r="644" spans="1:6">
      <c r="A644" s="130"/>
      <c r="B644" s="237" t="s">
        <v>300</v>
      </c>
      <c r="C644" s="238" t="s">
        <v>139</v>
      </c>
      <c r="D644" s="237">
        <v>2</v>
      </c>
      <c r="E644" s="186"/>
      <c r="F644" s="186">
        <f>D644*E644</f>
        <v>0</v>
      </c>
    </row>
    <row r="645" spans="1:6">
      <c r="A645" s="130"/>
      <c r="B645" s="237"/>
      <c r="C645" s="238"/>
      <c r="D645" s="237"/>
      <c r="E645" s="186"/>
      <c r="F645" s="186">
        <f t="shared" ref="F645:F684" si="20">D645*E645</f>
        <v>0</v>
      </c>
    </row>
    <row r="646" spans="1:6">
      <c r="A646" s="130"/>
      <c r="B646" s="237" t="s">
        <v>301</v>
      </c>
      <c r="C646" s="238" t="s">
        <v>139</v>
      </c>
      <c r="D646" s="237">
        <v>2</v>
      </c>
      <c r="E646" s="186"/>
      <c r="F646" s="186">
        <f t="shared" si="20"/>
        <v>0</v>
      </c>
    </row>
    <row r="647" spans="1:6">
      <c r="A647" s="130"/>
      <c r="B647" s="237"/>
      <c r="C647" s="238"/>
      <c r="D647" s="237"/>
      <c r="E647" s="186"/>
      <c r="F647" s="186">
        <f t="shared" si="20"/>
        <v>0</v>
      </c>
    </row>
    <row r="648" spans="1:6">
      <c r="A648" s="130"/>
      <c r="B648" s="237" t="s">
        <v>302</v>
      </c>
      <c r="C648" s="238" t="s">
        <v>139</v>
      </c>
      <c r="D648" s="237">
        <v>2</v>
      </c>
      <c r="E648" s="186"/>
      <c r="F648" s="186">
        <f t="shared" si="20"/>
        <v>0</v>
      </c>
    </row>
    <row r="649" spans="1:6">
      <c r="A649" s="130"/>
      <c r="B649" s="237"/>
      <c r="C649" s="238"/>
      <c r="D649" s="237"/>
      <c r="E649" s="186"/>
      <c r="F649" s="186">
        <f t="shared" si="20"/>
        <v>0</v>
      </c>
    </row>
    <row r="650" spans="1:6">
      <c r="A650" s="130"/>
      <c r="B650" s="237" t="s">
        <v>303</v>
      </c>
      <c r="C650" s="238" t="s">
        <v>139</v>
      </c>
      <c r="D650" s="237">
        <v>2</v>
      </c>
      <c r="E650" s="186"/>
      <c r="F650" s="186">
        <f t="shared" si="20"/>
        <v>0</v>
      </c>
    </row>
    <row r="651" spans="1:6">
      <c r="A651" s="130"/>
      <c r="B651" s="237"/>
      <c r="C651" s="238"/>
      <c r="D651" s="237"/>
      <c r="E651" s="186"/>
      <c r="F651" s="186">
        <f t="shared" si="20"/>
        <v>0</v>
      </c>
    </row>
    <row r="652" spans="1:6">
      <c r="A652" s="130"/>
      <c r="B652" s="237" t="s">
        <v>304</v>
      </c>
      <c r="C652" s="238" t="s">
        <v>139</v>
      </c>
      <c r="D652" s="237">
        <v>2</v>
      </c>
      <c r="E652" s="186"/>
      <c r="F652" s="186">
        <f t="shared" si="20"/>
        <v>0</v>
      </c>
    </row>
    <row r="653" spans="1:6">
      <c r="A653" s="130"/>
      <c r="B653" s="237"/>
      <c r="C653" s="238"/>
      <c r="D653" s="237"/>
      <c r="E653" s="186"/>
      <c r="F653" s="186">
        <f t="shared" si="20"/>
        <v>0</v>
      </c>
    </row>
    <row r="654" spans="1:6">
      <c r="A654" s="130"/>
      <c r="B654" s="237" t="s">
        <v>305</v>
      </c>
      <c r="C654" s="238" t="s">
        <v>139</v>
      </c>
      <c r="D654" s="237">
        <v>5</v>
      </c>
      <c r="E654" s="186"/>
      <c r="F654" s="186">
        <f t="shared" si="20"/>
        <v>0</v>
      </c>
    </row>
    <row r="655" spans="1:6">
      <c r="A655" s="130"/>
      <c r="B655" s="237"/>
      <c r="C655" s="238"/>
      <c r="D655" s="237"/>
      <c r="E655" s="186"/>
      <c r="F655" s="186">
        <f t="shared" si="20"/>
        <v>0</v>
      </c>
    </row>
    <row r="656" spans="1:6">
      <c r="A656" s="130"/>
      <c r="B656" s="237" t="s">
        <v>306</v>
      </c>
      <c r="C656" s="238" t="s">
        <v>139</v>
      </c>
      <c r="D656" s="237">
        <f>1+1+1</f>
        <v>3</v>
      </c>
      <c r="E656" s="186"/>
      <c r="F656" s="186">
        <f t="shared" si="20"/>
        <v>0</v>
      </c>
    </row>
    <row r="657" spans="1:6">
      <c r="A657" s="130"/>
      <c r="B657" s="237"/>
      <c r="C657" s="238"/>
      <c r="D657" s="237"/>
      <c r="E657" s="186"/>
      <c r="F657" s="186">
        <f t="shared" si="20"/>
        <v>0</v>
      </c>
    </row>
    <row r="658" spans="1:6">
      <c r="A658" s="130"/>
      <c r="B658" s="237" t="s">
        <v>307</v>
      </c>
      <c r="C658" s="238" t="s">
        <v>139</v>
      </c>
      <c r="D658" s="237">
        <v>3</v>
      </c>
      <c r="E658" s="186"/>
      <c r="F658" s="186">
        <f t="shared" si="20"/>
        <v>0</v>
      </c>
    </row>
    <row r="659" spans="1:6">
      <c r="A659" s="130"/>
      <c r="B659" s="237"/>
      <c r="C659" s="238"/>
      <c r="D659" s="237"/>
      <c r="E659" s="186"/>
      <c r="F659" s="186">
        <f t="shared" si="20"/>
        <v>0</v>
      </c>
    </row>
    <row r="660" spans="1:6">
      <c r="A660" s="130"/>
      <c r="B660" s="237" t="s">
        <v>308</v>
      </c>
      <c r="C660" s="238" t="s">
        <v>139</v>
      </c>
      <c r="D660" s="237">
        <v>5</v>
      </c>
      <c r="E660" s="186"/>
      <c r="F660" s="186">
        <f t="shared" si="20"/>
        <v>0</v>
      </c>
    </row>
    <row r="661" spans="1:6">
      <c r="A661" s="130"/>
      <c r="B661" s="237"/>
      <c r="C661" s="238"/>
      <c r="D661" s="237"/>
      <c r="E661" s="186"/>
      <c r="F661" s="186">
        <f t="shared" si="20"/>
        <v>0</v>
      </c>
    </row>
    <row r="662" spans="1:6">
      <c r="A662" s="130"/>
      <c r="B662" s="237" t="s">
        <v>309</v>
      </c>
      <c r="C662" s="238" t="s">
        <v>139</v>
      </c>
      <c r="D662" s="237">
        <v>1</v>
      </c>
      <c r="E662" s="186"/>
      <c r="F662" s="186">
        <f t="shared" si="20"/>
        <v>0</v>
      </c>
    </row>
    <row r="663" spans="1:6">
      <c r="A663" s="130"/>
      <c r="B663" s="237"/>
      <c r="C663" s="238"/>
      <c r="D663" s="237"/>
      <c r="E663" s="186"/>
      <c r="F663" s="186">
        <f t="shared" si="20"/>
        <v>0</v>
      </c>
    </row>
    <row r="664" spans="1:6">
      <c r="A664" s="130"/>
      <c r="B664" s="237" t="s">
        <v>310</v>
      </c>
      <c r="C664" s="238" t="s">
        <v>139</v>
      </c>
      <c r="D664" s="237">
        <f>12+12</f>
        <v>24</v>
      </c>
      <c r="E664" s="186"/>
      <c r="F664" s="186">
        <f t="shared" si="20"/>
        <v>0</v>
      </c>
    </row>
    <row r="665" spans="1:6">
      <c r="A665" s="130"/>
      <c r="B665" s="237"/>
      <c r="C665" s="238"/>
      <c r="D665" s="237"/>
      <c r="E665" s="186"/>
      <c r="F665" s="186">
        <f t="shared" si="20"/>
        <v>0</v>
      </c>
    </row>
    <row r="666" spans="1:6">
      <c r="A666" s="130"/>
      <c r="B666" s="237" t="s">
        <v>311</v>
      </c>
      <c r="C666" s="238" t="s">
        <v>139</v>
      </c>
      <c r="D666" s="237">
        <f>2+2</f>
        <v>4</v>
      </c>
      <c r="E666" s="186"/>
      <c r="F666" s="186">
        <f t="shared" si="20"/>
        <v>0</v>
      </c>
    </row>
    <row r="667" spans="1:6">
      <c r="A667" s="130"/>
      <c r="B667" s="237"/>
      <c r="C667" s="238"/>
      <c r="D667" s="237"/>
      <c r="E667" s="186"/>
      <c r="F667" s="186">
        <f t="shared" si="20"/>
        <v>0</v>
      </c>
    </row>
    <row r="668" spans="1:6">
      <c r="A668" s="130"/>
      <c r="B668" s="237" t="s">
        <v>312</v>
      </c>
      <c r="C668" s="238" t="s">
        <v>139</v>
      </c>
      <c r="D668" s="237">
        <f>1+1</f>
        <v>2</v>
      </c>
      <c r="E668" s="186"/>
      <c r="F668" s="186">
        <f t="shared" si="20"/>
        <v>0</v>
      </c>
    </row>
    <row r="669" spans="1:6">
      <c r="A669" s="130"/>
      <c r="B669" s="237"/>
      <c r="C669" s="238"/>
      <c r="D669" s="237"/>
      <c r="E669" s="186"/>
      <c r="F669" s="186">
        <f t="shared" si="20"/>
        <v>0</v>
      </c>
    </row>
    <row r="670" spans="1:6">
      <c r="A670" s="130"/>
      <c r="B670" s="237" t="s">
        <v>313</v>
      </c>
      <c r="C670" s="238" t="s">
        <v>139</v>
      </c>
      <c r="D670" s="237">
        <v>2</v>
      </c>
      <c r="E670" s="186"/>
      <c r="F670" s="186">
        <f t="shared" si="20"/>
        <v>0</v>
      </c>
    </row>
    <row r="671" spans="1:6">
      <c r="A671" s="130"/>
      <c r="B671" s="237"/>
      <c r="C671" s="130"/>
      <c r="D671" s="265"/>
      <c r="E671" s="186"/>
      <c r="F671" s="186">
        <f t="shared" si="20"/>
        <v>0</v>
      </c>
    </row>
    <row r="672" spans="1:6">
      <c r="A672" s="130"/>
      <c r="B672" s="237" t="s">
        <v>260</v>
      </c>
      <c r="C672" s="130" t="s">
        <v>149</v>
      </c>
      <c r="D672" s="265">
        <f>(3*2+7*2)*2.7</f>
        <v>54</v>
      </c>
      <c r="E672" s="186"/>
      <c r="F672" s="186">
        <f t="shared" si="20"/>
        <v>0</v>
      </c>
    </row>
    <row r="673" spans="1:6">
      <c r="A673" s="130"/>
      <c r="B673" s="237"/>
      <c r="C673" s="130"/>
      <c r="D673" s="265"/>
      <c r="E673" s="186"/>
      <c r="F673" s="186">
        <f t="shared" si="20"/>
        <v>0</v>
      </c>
    </row>
    <row r="674" spans="1:6">
      <c r="A674" s="130"/>
      <c r="B674" s="141" t="s">
        <v>273</v>
      </c>
      <c r="C674" s="130" t="s">
        <v>149</v>
      </c>
      <c r="D674" s="265">
        <f>D672</f>
        <v>54</v>
      </c>
      <c r="E674" s="186"/>
      <c r="F674" s="186">
        <f t="shared" si="20"/>
        <v>0</v>
      </c>
    </row>
    <row r="675" spans="1:6">
      <c r="A675" s="130"/>
      <c r="B675" s="237"/>
      <c r="C675" s="130"/>
      <c r="D675" s="265"/>
      <c r="E675" s="186"/>
      <c r="F675" s="186">
        <f t="shared" si="20"/>
        <v>0</v>
      </c>
    </row>
    <row r="676" spans="1:6">
      <c r="A676" s="130"/>
      <c r="B676" s="237" t="s">
        <v>267</v>
      </c>
      <c r="C676" s="130" t="s">
        <v>149</v>
      </c>
      <c r="D676" s="265">
        <v>5.21</v>
      </c>
      <c r="E676" s="186"/>
      <c r="F676" s="186">
        <f t="shared" si="20"/>
        <v>0</v>
      </c>
    </row>
    <row r="677" spans="1:6">
      <c r="A677" s="130"/>
      <c r="B677" s="237"/>
      <c r="C677" s="130"/>
      <c r="D677" s="265"/>
      <c r="E677" s="186"/>
      <c r="F677" s="186">
        <f t="shared" si="20"/>
        <v>0</v>
      </c>
    </row>
    <row r="678" spans="1:6">
      <c r="A678" s="130"/>
      <c r="B678" s="141" t="s">
        <v>268</v>
      </c>
      <c r="C678" s="130" t="s">
        <v>149</v>
      </c>
      <c r="D678" s="265">
        <f>D676</f>
        <v>5.21</v>
      </c>
      <c r="E678" s="186"/>
      <c r="F678" s="186">
        <f t="shared" si="20"/>
        <v>0</v>
      </c>
    </row>
    <row r="679" spans="1:6">
      <c r="A679" s="130"/>
      <c r="B679" s="141"/>
      <c r="C679" s="130"/>
      <c r="D679" s="265"/>
      <c r="E679" s="186"/>
      <c r="F679" s="186">
        <f t="shared" si="20"/>
        <v>0</v>
      </c>
    </row>
    <row r="680" spans="1:6">
      <c r="A680" s="130"/>
      <c r="B680" s="141" t="s">
        <v>269</v>
      </c>
      <c r="C680" s="130" t="s">
        <v>54</v>
      </c>
      <c r="D680" s="265">
        <v>21</v>
      </c>
      <c r="E680" s="186"/>
      <c r="F680" s="186">
        <f t="shared" si="20"/>
        <v>0</v>
      </c>
    </row>
    <row r="681" spans="1:6">
      <c r="A681" s="130"/>
      <c r="B681" s="237"/>
      <c r="C681" s="238"/>
      <c r="D681" s="265"/>
      <c r="E681" s="186"/>
      <c r="F681" s="186">
        <f t="shared" si="20"/>
        <v>0</v>
      </c>
    </row>
    <row r="682" spans="1:6">
      <c r="A682" s="130"/>
      <c r="B682" s="237" t="s">
        <v>314</v>
      </c>
      <c r="C682" s="130" t="s">
        <v>149</v>
      </c>
      <c r="D682" s="265">
        <f>(2.2*0.95)*2</f>
        <v>4.18</v>
      </c>
      <c r="E682" s="186"/>
      <c r="F682" s="186">
        <f t="shared" si="20"/>
        <v>0</v>
      </c>
    </row>
    <row r="683" spans="1:6">
      <c r="A683" s="130"/>
      <c r="B683" s="237"/>
      <c r="C683" s="238"/>
      <c r="D683" s="237"/>
      <c r="E683" s="186"/>
      <c r="F683" s="186">
        <f t="shared" si="20"/>
        <v>0</v>
      </c>
    </row>
    <row r="684" spans="1:6">
      <c r="A684" s="130"/>
      <c r="B684" s="237" t="s">
        <v>315</v>
      </c>
      <c r="C684" s="130" t="s">
        <v>149</v>
      </c>
      <c r="D684" s="265">
        <f>(2.2*0.95)*2</f>
        <v>4.18</v>
      </c>
      <c r="E684" s="186"/>
      <c r="F684" s="186">
        <f t="shared" si="20"/>
        <v>0</v>
      </c>
    </row>
    <row r="685" spans="1:6" ht="13" thickBot="1">
      <c r="A685" s="116"/>
      <c r="B685" s="202"/>
      <c r="C685" s="263"/>
      <c r="D685" s="202"/>
      <c r="E685" s="193"/>
      <c r="F685" s="193"/>
    </row>
    <row r="686" spans="1:6" ht="13.5" thickBot="1">
      <c r="A686" s="200"/>
      <c r="B686" s="264" t="s">
        <v>216</v>
      </c>
      <c r="C686" s="264"/>
      <c r="D686" s="264"/>
      <c r="E686" s="264"/>
      <c r="F686" s="124">
        <f>SUM(F644:F684)</f>
        <v>0</v>
      </c>
    </row>
    <row r="687" spans="1:6">
      <c r="A687" s="113"/>
      <c r="B687" s="201"/>
      <c r="C687" s="201"/>
      <c r="D687" s="201"/>
      <c r="E687" s="185"/>
      <c r="F687" s="185"/>
    </row>
    <row r="688" spans="1:6" ht="13">
      <c r="A688" s="130"/>
      <c r="B688" s="257" t="s">
        <v>316</v>
      </c>
      <c r="C688" s="237"/>
      <c r="D688" s="237"/>
      <c r="E688" s="186"/>
      <c r="F688" s="186"/>
    </row>
    <row r="689" spans="1:6" ht="13">
      <c r="A689" s="130"/>
      <c r="B689" s="257"/>
      <c r="C689" s="237"/>
      <c r="D689" s="237"/>
      <c r="E689" s="186"/>
      <c r="F689" s="186"/>
    </row>
    <row r="690" spans="1:6">
      <c r="A690" s="130"/>
      <c r="B690" s="237" t="s">
        <v>317</v>
      </c>
      <c r="C690" s="238" t="s">
        <v>149</v>
      </c>
      <c r="D690" s="237">
        <f>2*3</f>
        <v>6</v>
      </c>
      <c r="E690" s="186"/>
      <c r="F690" s="186">
        <f>D690*E690</f>
        <v>0</v>
      </c>
    </row>
    <row r="691" spans="1:6" ht="13">
      <c r="A691" s="130"/>
      <c r="B691" s="257"/>
      <c r="C691" s="237"/>
      <c r="D691" s="237"/>
      <c r="E691" s="186"/>
      <c r="F691" s="186">
        <f t="shared" ref="F691:F696" si="21">D691*E691</f>
        <v>0</v>
      </c>
    </row>
    <row r="692" spans="1:6">
      <c r="A692" s="130"/>
      <c r="B692" s="237" t="s">
        <v>318</v>
      </c>
      <c r="C692" s="130" t="s">
        <v>149</v>
      </c>
      <c r="D692" s="265">
        <f>(2*2+3*2)*2.7</f>
        <v>27</v>
      </c>
      <c r="E692" s="186"/>
      <c r="F692" s="186">
        <f t="shared" si="21"/>
        <v>0</v>
      </c>
    </row>
    <row r="693" spans="1:6">
      <c r="A693" s="130"/>
      <c r="B693" s="237"/>
      <c r="C693" s="237"/>
      <c r="D693" s="237"/>
      <c r="E693" s="186"/>
      <c r="F693" s="186">
        <f t="shared" si="21"/>
        <v>0</v>
      </c>
    </row>
    <row r="694" spans="1:6">
      <c r="A694" s="130"/>
      <c r="B694" s="237" t="s">
        <v>319</v>
      </c>
      <c r="C694" s="130" t="s">
        <v>149</v>
      </c>
      <c r="D694" s="265">
        <f>D692</f>
        <v>27</v>
      </c>
      <c r="E694" s="186"/>
      <c r="F694" s="186">
        <f t="shared" si="21"/>
        <v>0</v>
      </c>
    </row>
    <row r="695" spans="1:6">
      <c r="A695" s="130"/>
      <c r="B695" s="237"/>
      <c r="C695" s="130"/>
      <c r="D695" s="265"/>
      <c r="E695" s="186"/>
      <c r="F695" s="186">
        <f t="shared" si="21"/>
        <v>0</v>
      </c>
    </row>
    <row r="696" spans="1:6">
      <c r="A696" s="130"/>
      <c r="B696" s="141" t="s">
        <v>273</v>
      </c>
      <c r="C696" s="130" t="s">
        <v>149</v>
      </c>
      <c r="D696" s="265">
        <f>D692</f>
        <v>27</v>
      </c>
      <c r="E696" s="186"/>
      <c r="F696" s="186">
        <f t="shared" si="21"/>
        <v>0</v>
      </c>
    </row>
    <row r="697" spans="1:6">
      <c r="A697" s="130"/>
      <c r="B697" s="237"/>
      <c r="C697" s="237"/>
      <c r="D697" s="237"/>
      <c r="E697" s="186"/>
      <c r="F697" s="186"/>
    </row>
    <row r="698" spans="1:6" ht="13.5" thickBot="1">
      <c r="A698" s="130"/>
      <c r="B698" s="257"/>
      <c r="C698" s="237"/>
      <c r="D698" s="237"/>
      <c r="E698" s="186"/>
      <c r="F698" s="186"/>
    </row>
    <row r="699" spans="1:6" ht="13.5" thickBot="1">
      <c r="A699" s="200"/>
      <c r="B699" s="264" t="s">
        <v>216</v>
      </c>
      <c r="C699" s="264"/>
      <c r="D699" s="264"/>
      <c r="E699" s="264"/>
      <c r="F699" s="124">
        <f>SUM(F657:F697)</f>
        <v>0</v>
      </c>
    </row>
    <row r="700" spans="1:6" ht="13">
      <c r="A700" s="130"/>
      <c r="B700" s="257"/>
      <c r="C700" s="237"/>
      <c r="D700" s="237"/>
      <c r="E700" s="186"/>
      <c r="F700" s="186"/>
    </row>
    <row r="701" spans="1:6" ht="13">
      <c r="A701" s="130"/>
      <c r="B701" s="257" t="s">
        <v>320</v>
      </c>
      <c r="C701" s="237"/>
      <c r="D701" s="237"/>
      <c r="E701" s="186"/>
      <c r="F701" s="186"/>
    </row>
    <row r="702" spans="1:6" ht="13">
      <c r="A702" s="130"/>
      <c r="B702" s="257"/>
      <c r="C702" s="237"/>
      <c r="D702" s="237"/>
      <c r="E702" s="186"/>
      <c r="F702" s="186"/>
    </row>
    <row r="703" spans="1:6">
      <c r="A703" s="130"/>
      <c r="B703" s="237" t="s">
        <v>260</v>
      </c>
      <c r="C703" s="130" t="s">
        <v>149</v>
      </c>
      <c r="D703" s="265">
        <f>(3*2+3*2)*2.7</f>
        <v>32.400000000000006</v>
      </c>
      <c r="E703" s="186"/>
      <c r="F703" s="186">
        <f>D703*E703</f>
        <v>0</v>
      </c>
    </row>
    <row r="704" spans="1:6">
      <c r="A704" s="130"/>
      <c r="B704" s="237"/>
      <c r="C704" s="130"/>
      <c r="D704" s="265"/>
      <c r="E704" s="186"/>
      <c r="F704" s="186">
        <f t="shared" ref="F704:F705" si="22">D704*E704</f>
        <v>0</v>
      </c>
    </row>
    <row r="705" spans="1:6">
      <c r="A705" s="130"/>
      <c r="B705" s="141" t="s">
        <v>273</v>
      </c>
      <c r="C705" s="130" t="s">
        <v>149</v>
      </c>
      <c r="D705" s="265">
        <f>D703</f>
        <v>32.400000000000006</v>
      </c>
      <c r="E705" s="186"/>
      <c r="F705" s="186">
        <f t="shared" si="22"/>
        <v>0</v>
      </c>
    </row>
    <row r="706" spans="1:6">
      <c r="A706" s="130"/>
      <c r="B706" s="237"/>
      <c r="C706" s="130"/>
      <c r="D706" s="265"/>
      <c r="E706" s="186"/>
      <c r="F706" s="186"/>
    </row>
    <row r="707" spans="1:6" ht="13" thickBot="1">
      <c r="A707" s="130"/>
      <c r="B707" s="237"/>
      <c r="C707" s="130"/>
      <c r="D707" s="265"/>
      <c r="E707" s="186"/>
      <c r="F707" s="186"/>
    </row>
    <row r="708" spans="1:6" ht="13.5" thickBot="1">
      <c r="A708" s="200"/>
      <c r="B708" s="264" t="s">
        <v>216</v>
      </c>
      <c r="C708" s="264"/>
      <c r="D708" s="264"/>
      <c r="E708" s="264"/>
      <c r="F708" s="124">
        <f>SUM(F703:F705)</f>
        <v>0</v>
      </c>
    </row>
    <row r="709" spans="1:6" ht="13">
      <c r="A709" s="130"/>
      <c r="B709" s="257"/>
      <c r="C709" s="237"/>
      <c r="D709" s="237"/>
      <c r="E709" s="186"/>
      <c r="F709" s="186"/>
    </row>
    <row r="710" spans="1:6" ht="13">
      <c r="A710" s="130"/>
      <c r="B710" s="257" t="s">
        <v>321</v>
      </c>
      <c r="C710" s="237"/>
      <c r="D710" s="237"/>
      <c r="E710" s="186"/>
      <c r="F710" s="186"/>
    </row>
    <row r="711" spans="1:6" ht="13">
      <c r="A711" s="130"/>
      <c r="B711" s="257"/>
      <c r="C711" s="237"/>
      <c r="D711" s="237"/>
      <c r="E711" s="186"/>
      <c r="F711" s="186"/>
    </row>
    <row r="712" spans="1:6">
      <c r="A712" s="130"/>
      <c r="B712" s="237" t="s">
        <v>260</v>
      </c>
      <c r="C712" s="130" t="s">
        <v>149</v>
      </c>
      <c r="D712" s="265">
        <v>30</v>
      </c>
      <c r="E712" s="186"/>
      <c r="F712" s="186">
        <f>D712*E712</f>
        <v>0</v>
      </c>
    </row>
    <row r="713" spans="1:6">
      <c r="A713" s="130"/>
      <c r="B713" s="237"/>
      <c r="C713" s="130"/>
      <c r="D713" s="265"/>
      <c r="E713" s="186"/>
      <c r="F713" s="186">
        <f t="shared" ref="F713:F720" si="23">D713*E713</f>
        <v>0</v>
      </c>
    </row>
    <row r="714" spans="1:6">
      <c r="A714" s="130"/>
      <c r="B714" s="141" t="s">
        <v>273</v>
      </c>
      <c r="C714" s="130" t="s">
        <v>149</v>
      </c>
      <c r="D714" s="265">
        <v>30</v>
      </c>
      <c r="E714" s="186"/>
      <c r="F714" s="186">
        <f t="shared" si="23"/>
        <v>0</v>
      </c>
    </row>
    <row r="715" spans="1:6" ht="13">
      <c r="A715" s="130"/>
      <c r="B715" s="257"/>
      <c r="C715" s="237"/>
      <c r="D715" s="237"/>
      <c r="E715" s="186"/>
      <c r="F715" s="186">
        <f t="shared" si="23"/>
        <v>0</v>
      </c>
    </row>
    <row r="716" spans="1:6">
      <c r="A716" s="130"/>
      <c r="B716" s="237" t="s">
        <v>322</v>
      </c>
      <c r="C716" s="130" t="s">
        <v>54</v>
      </c>
      <c r="D716" s="265">
        <v>16</v>
      </c>
      <c r="E716" s="186"/>
      <c r="F716" s="186">
        <f t="shared" si="23"/>
        <v>0</v>
      </c>
    </row>
    <row r="717" spans="1:6">
      <c r="A717" s="130"/>
      <c r="B717" s="237"/>
      <c r="C717" s="130"/>
      <c r="D717" s="265"/>
      <c r="E717" s="186"/>
      <c r="F717" s="186">
        <f t="shared" si="23"/>
        <v>0</v>
      </c>
    </row>
    <row r="718" spans="1:6">
      <c r="A718" s="130"/>
      <c r="B718" s="237" t="s">
        <v>323</v>
      </c>
      <c r="C718" s="130" t="s">
        <v>149</v>
      </c>
      <c r="D718" s="265">
        <v>4</v>
      </c>
      <c r="E718" s="186"/>
      <c r="F718" s="186">
        <f t="shared" si="23"/>
        <v>0</v>
      </c>
    </row>
    <row r="719" spans="1:6">
      <c r="A719" s="130"/>
      <c r="B719" s="237"/>
      <c r="C719" s="130"/>
      <c r="D719" s="265"/>
      <c r="E719" s="186"/>
      <c r="F719" s="186">
        <f t="shared" si="23"/>
        <v>0</v>
      </c>
    </row>
    <row r="720" spans="1:6">
      <c r="A720" s="130"/>
      <c r="B720" s="141" t="s">
        <v>268</v>
      </c>
      <c r="C720" s="130" t="s">
        <v>149</v>
      </c>
      <c r="D720" s="265">
        <v>4</v>
      </c>
      <c r="E720" s="186"/>
      <c r="F720" s="186">
        <f t="shared" si="23"/>
        <v>0</v>
      </c>
    </row>
    <row r="721" spans="1:6">
      <c r="A721" s="130"/>
      <c r="B721" s="237"/>
      <c r="C721" s="130"/>
      <c r="D721" s="265"/>
      <c r="E721" s="186"/>
      <c r="F721" s="186"/>
    </row>
    <row r="722" spans="1:6" ht="13" thickBot="1">
      <c r="A722" s="130"/>
      <c r="B722" s="237"/>
      <c r="C722" s="130"/>
      <c r="D722" s="265"/>
      <c r="E722" s="186"/>
      <c r="F722" s="186"/>
    </row>
    <row r="723" spans="1:6" ht="13.5" thickBot="1">
      <c r="A723" s="200"/>
      <c r="B723" s="264" t="s">
        <v>216</v>
      </c>
      <c r="C723" s="264"/>
      <c r="D723" s="264"/>
      <c r="E723" s="264"/>
      <c r="F723" s="124">
        <f>SUM(F712:F720)</f>
        <v>0</v>
      </c>
    </row>
    <row r="724" spans="1:6" ht="13">
      <c r="A724" s="130"/>
      <c r="B724" s="257"/>
      <c r="C724" s="237"/>
      <c r="D724" s="237"/>
      <c r="E724" s="186"/>
      <c r="F724" s="186"/>
    </row>
    <row r="725" spans="1:6" ht="13">
      <c r="A725" s="130"/>
      <c r="B725" s="257" t="s">
        <v>324</v>
      </c>
      <c r="C725" s="237"/>
      <c r="D725" s="237"/>
      <c r="E725" s="186"/>
      <c r="F725" s="186"/>
    </row>
    <row r="726" spans="1:6" ht="13">
      <c r="A726" s="130"/>
      <c r="B726" s="257"/>
      <c r="C726" s="237"/>
      <c r="D726" s="237"/>
      <c r="E726" s="186"/>
      <c r="F726" s="186"/>
    </row>
    <row r="727" spans="1:6" ht="37.5">
      <c r="A727" s="130"/>
      <c r="B727" s="141" t="s">
        <v>325</v>
      </c>
      <c r="C727" s="238" t="s">
        <v>54</v>
      </c>
      <c r="D727" s="237">
        <f>26</f>
        <v>26</v>
      </c>
      <c r="E727" s="186"/>
      <c r="F727" s="186">
        <f>D727*E727</f>
        <v>0</v>
      </c>
    </row>
    <row r="728" spans="1:6">
      <c r="A728" s="130"/>
      <c r="B728" s="237"/>
      <c r="C728" s="238"/>
      <c r="D728" s="237"/>
      <c r="E728" s="186"/>
      <c r="F728" s="186">
        <f t="shared" ref="F728:F739" si="24">D728*E728</f>
        <v>0</v>
      </c>
    </row>
    <row r="729" spans="1:6">
      <c r="A729" s="130"/>
      <c r="B729" s="237" t="s">
        <v>260</v>
      </c>
      <c r="C729" s="130" t="s">
        <v>149</v>
      </c>
      <c r="D729" s="265">
        <f>(13*2+1.5*2)*2.7</f>
        <v>78.300000000000011</v>
      </c>
      <c r="E729" s="186"/>
      <c r="F729" s="186">
        <f t="shared" si="24"/>
        <v>0</v>
      </c>
    </row>
    <row r="730" spans="1:6">
      <c r="A730" s="130"/>
      <c r="B730" s="237"/>
      <c r="C730" s="130"/>
      <c r="D730" s="265"/>
      <c r="E730" s="186"/>
      <c r="F730" s="186">
        <f t="shared" si="24"/>
        <v>0</v>
      </c>
    </row>
    <row r="731" spans="1:6">
      <c r="A731" s="130"/>
      <c r="B731" s="141" t="s">
        <v>273</v>
      </c>
      <c r="C731" s="130" t="s">
        <v>149</v>
      </c>
      <c r="D731" s="265">
        <f>D729</f>
        <v>78.300000000000011</v>
      </c>
      <c r="E731" s="186"/>
      <c r="F731" s="186">
        <f t="shared" si="24"/>
        <v>0</v>
      </c>
    </row>
    <row r="732" spans="1:6" ht="13">
      <c r="A732" s="130"/>
      <c r="B732" s="257"/>
      <c r="C732" s="237"/>
      <c r="D732" s="237"/>
      <c r="E732" s="186"/>
      <c r="F732" s="186">
        <f t="shared" si="24"/>
        <v>0</v>
      </c>
    </row>
    <row r="733" spans="1:6" ht="37.5">
      <c r="A733" s="130"/>
      <c r="B733" s="266" t="s">
        <v>284</v>
      </c>
      <c r="C733" s="130" t="s">
        <v>139</v>
      </c>
      <c r="D733" s="265">
        <f>2*0</f>
        <v>0</v>
      </c>
      <c r="E733" s="186"/>
      <c r="F733" s="186">
        <f t="shared" si="24"/>
        <v>0</v>
      </c>
    </row>
    <row r="734" spans="1:6">
      <c r="A734" s="130"/>
      <c r="B734" s="266"/>
      <c r="C734" s="130"/>
      <c r="D734" s="265"/>
      <c r="E734" s="186"/>
      <c r="F734" s="186">
        <f t="shared" si="24"/>
        <v>0</v>
      </c>
    </row>
    <row r="735" spans="1:6">
      <c r="A735" s="130"/>
      <c r="B735" s="237" t="s">
        <v>267</v>
      </c>
      <c r="C735" s="130" t="s">
        <v>149</v>
      </c>
      <c r="D735" s="265">
        <f>13*1.5</f>
        <v>19.5</v>
      </c>
      <c r="E735" s="186"/>
      <c r="F735" s="186">
        <f t="shared" si="24"/>
        <v>0</v>
      </c>
    </row>
    <row r="736" spans="1:6">
      <c r="A736" s="130"/>
      <c r="B736" s="237"/>
      <c r="C736" s="130"/>
      <c r="D736" s="265"/>
      <c r="E736" s="186"/>
      <c r="F736" s="186">
        <f t="shared" si="24"/>
        <v>0</v>
      </c>
    </row>
    <row r="737" spans="1:6">
      <c r="A737" s="130"/>
      <c r="B737" s="141" t="s">
        <v>268</v>
      </c>
      <c r="C737" s="130" t="s">
        <v>149</v>
      </c>
      <c r="D737" s="265">
        <f>D735</f>
        <v>19.5</v>
      </c>
      <c r="E737" s="186"/>
      <c r="F737" s="186">
        <f t="shared" si="24"/>
        <v>0</v>
      </c>
    </row>
    <row r="738" spans="1:6">
      <c r="A738" s="130"/>
      <c r="B738" s="141"/>
      <c r="C738" s="130"/>
      <c r="D738" s="265"/>
      <c r="E738" s="186"/>
      <c r="F738" s="186">
        <f t="shared" si="24"/>
        <v>0</v>
      </c>
    </row>
    <row r="739" spans="1:6">
      <c r="A739" s="130"/>
      <c r="B739" s="141" t="s">
        <v>269</v>
      </c>
      <c r="C739" s="130" t="s">
        <v>54</v>
      </c>
      <c r="D739" s="265">
        <v>26</v>
      </c>
      <c r="E739" s="186"/>
      <c r="F739" s="186">
        <f t="shared" si="24"/>
        <v>0</v>
      </c>
    </row>
    <row r="740" spans="1:6">
      <c r="A740" s="130"/>
      <c r="B740" s="266"/>
      <c r="C740" s="130"/>
      <c r="D740" s="265"/>
      <c r="E740" s="186"/>
      <c r="F740" s="186"/>
    </row>
    <row r="741" spans="1:6" ht="13.5" thickBot="1">
      <c r="A741" s="130"/>
      <c r="B741" s="257"/>
      <c r="C741" s="237"/>
      <c r="D741" s="237"/>
      <c r="E741" s="186"/>
      <c r="F741" s="186"/>
    </row>
    <row r="742" spans="1:6" ht="13.5" thickBot="1">
      <c r="A742" s="200"/>
      <c r="B742" s="264" t="s">
        <v>216</v>
      </c>
      <c r="C742" s="264"/>
      <c r="D742" s="264"/>
      <c r="E742" s="264"/>
      <c r="F742" s="124">
        <f>SUM(F727:F739)</f>
        <v>0</v>
      </c>
    </row>
    <row r="743" spans="1:6" ht="13">
      <c r="A743" s="130"/>
      <c r="B743" s="257"/>
      <c r="C743" s="237"/>
      <c r="D743" s="237"/>
      <c r="E743" s="186"/>
      <c r="F743" s="186"/>
    </row>
    <row r="744" spans="1:6" ht="13">
      <c r="A744" s="130"/>
      <c r="B744" s="257" t="s">
        <v>326</v>
      </c>
      <c r="C744" s="237"/>
      <c r="D744" s="237"/>
      <c r="E744" s="186"/>
      <c r="F744" s="186"/>
    </row>
    <row r="745" spans="1:6" ht="13">
      <c r="A745" s="130"/>
      <c r="B745" s="257"/>
      <c r="C745" s="237"/>
      <c r="D745" s="237"/>
      <c r="E745" s="186"/>
      <c r="F745" s="186"/>
    </row>
    <row r="746" spans="1:6" ht="25">
      <c r="A746" s="130"/>
      <c r="B746" s="141" t="s">
        <v>337</v>
      </c>
      <c r="C746" s="130" t="s">
        <v>54</v>
      </c>
      <c r="D746" s="237">
        <f>23</f>
        <v>23</v>
      </c>
      <c r="E746" s="186"/>
      <c r="F746" s="186">
        <f>D746*E746</f>
        <v>0</v>
      </c>
    </row>
    <row r="747" spans="1:6">
      <c r="A747" s="130"/>
      <c r="B747" s="237"/>
      <c r="C747" s="238"/>
      <c r="D747" s="237"/>
      <c r="E747" s="186"/>
      <c r="F747" s="186">
        <f t="shared" ref="F747:F756" si="25">D747*E747</f>
        <v>0</v>
      </c>
    </row>
    <row r="748" spans="1:6">
      <c r="A748" s="130"/>
      <c r="B748" s="237" t="s">
        <v>260</v>
      </c>
      <c r="C748" s="130" t="s">
        <v>149</v>
      </c>
      <c r="D748" s="265">
        <f>(11.5*2+2*2)*2.7</f>
        <v>72.900000000000006</v>
      </c>
      <c r="E748" s="186"/>
      <c r="F748" s="186">
        <f t="shared" si="25"/>
        <v>0</v>
      </c>
    </row>
    <row r="749" spans="1:6">
      <c r="A749" s="130"/>
      <c r="B749" s="237"/>
      <c r="C749" s="130"/>
      <c r="D749" s="265"/>
      <c r="E749" s="186"/>
      <c r="F749" s="186">
        <f t="shared" si="25"/>
        <v>0</v>
      </c>
    </row>
    <row r="750" spans="1:6">
      <c r="A750" s="130"/>
      <c r="B750" s="141" t="s">
        <v>273</v>
      </c>
      <c r="C750" s="130" t="s">
        <v>149</v>
      </c>
      <c r="D750" s="265">
        <f>D748</f>
        <v>72.900000000000006</v>
      </c>
      <c r="E750" s="186"/>
      <c r="F750" s="186">
        <f t="shared" si="25"/>
        <v>0</v>
      </c>
    </row>
    <row r="751" spans="1:6" ht="13">
      <c r="A751" s="130"/>
      <c r="B751" s="257"/>
      <c r="C751" s="237"/>
      <c r="D751" s="237"/>
      <c r="E751" s="186"/>
      <c r="F751" s="186">
        <f t="shared" si="25"/>
        <v>0</v>
      </c>
    </row>
    <row r="752" spans="1:6">
      <c r="A752" s="130"/>
      <c r="B752" s="237" t="s">
        <v>267</v>
      </c>
      <c r="C752" s="130" t="s">
        <v>149</v>
      </c>
      <c r="D752" s="265">
        <v>25</v>
      </c>
      <c r="E752" s="186"/>
      <c r="F752" s="186">
        <f t="shared" si="25"/>
        <v>0</v>
      </c>
    </row>
    <row r="753" spans="1:6">
      <c r="A753" s="130"/>
      <c r="B753" s="237"/>
      <c r="C753" s="130"/>
      <c r="D753" s="265"/>
      <c r="E753" s="186"/>
      <c r="F753" s="186">
        <f t="shared" si="25"/>
        <v>0</v>
      </c>
    </row>
    <row r="754" spans="1:6">
      <c r="A754" s="130"/>
      <c r="B754" s="141" t="s">
        <v>268</v>
      </c>
      <c r="C754" s="130" t="s">
        <v>149</v>
      </c>
      <c r="D754" s="265">
        <f>D752</f>
        <v>25</v>
      </c>
      <c r="E754" s="186"/>
      <c r="F754" s="186">
        <f t="shared" si="25"/>
        <v>0</v>
      </c>
    </row>
    <row r="755" spans="1:6">
      <c r="A755" s="130"/>
      <c r="B755" s="141"/>
      <c r="C755" s="130"/>
      <c r="D755" s="265"/>
      <c r="E755" s="186"/>
      <c r="F755" s="186">
        <f t="shared" si="25"/>
        <v>0</v>
      </c>
    </row>
    <row r="756" spans="1:6">
      <c r="A756" s="130"/>
      <c r="B756" s="141" t="s">
        <v>269</v>
      </c>
      <c r="C756" s="130" t="s">
        <v>54</v>
      </c>
      <c r="D756" s="265">
        <v>23</v>
      </c>
      <c r="E756" s="186"/>
      <c r="F756" s="186">
        <f t="shared" si="25"/>
        <v>0</v>
      </c>
    </row>
    <row r="757" spans="1:6" ht="13" thickBot="1">
      <c r="A757" s="130"/>
      <c r="B757" s="237"/>
      <c r="C757" s="237"/>
      <c r="D757" s="237"/>
      <c r="E757" s="186"/>
      <c r="F757" s="186"/>
    </row>
    <row r="758" spans="1:6" ht="13.5" thickBot="1">
      <c r="A758" s="200"/>
      <c r="B758" s="264" t="s">
        <v>216</v>
      </c>
      <c r="C758" s="264"/>
      <c r="D758" s="264"/>
      <c r="E758" s="264"/>
      <c r="F758" s="124">
        <f>SUM(F746:F757)</f>
        <v>0</v>
      </c>
    </row>
    <row r="759" spans="1:6" ht="13">
      <c r="A759" s="130"/>
      <c r="B759" s="268"/>
      <c r="C759" s="268"/>
      <c r="D759" s="268"/>
      <c r="E759" s="186"/>
      <c r="F759" s="186"/>
    </row>
    <row r="760" spans="1:6" ht="13">
      <c r="A760" s="130"/>
      <c r="B760" s="257" t="s">
        <v>327</v>
      </c>
      <c r="C760" s="130"/>
      <c r="D760" s="130"/>
      <c r="E760" s="186"/>
      <c r="F760" s="186"/>
    </row>
    <row r="761" spans="1:6">
      <c r="A761" s="130"/>
      <c r="B761" s="237"/>
      <c r="C761" s="130"/>
      <c r="D761" s="130"/>
      <c r="E761" s="186"/>
      <c r="F761" s="186"/>
    </row>
    <row r="762" spans="1:6">
      <c r="A762" s="130"/>
      <c r="B762" s="237" t="s">
        <v>260</v>
      </c>
      <c r="C762" s="130" t="s">
        <v>149</v>
      </c>
      <c r="D762" s="265">
        <f>(2*2+2*2)*2.7</f>
        <v>21.6</v>
      </c>
      <c r="E762" s="186"/>
      <c r="F762" s="186">
        <f>D762*E762</f>
        <v>0</v>
      </c>
    </row>
    <row r="763" spans="1:6">
      <c r="A763" s="130"/>
      <c r="B763" s="237"/>
      <c r="C763" s="130"/>
      <c r="D763" s="265"/>
      <c r="E763" s="186"/>
      <c r="F763" s="186">
        <f t="shared" ref="F763:F770" si="26">D763*E763</f>
        <v>0</v>
      </c>
    </row>
    <row r="764" spans="1:6">
      <c r="A764" s="130"/>
      <c r="B764" s="141" t="s">
        <v>273</v>
      </c>
      <c r="C764" s="130" t="s">
        <v>149</v>
      </c>
      <c r="D764" s="265">
        <f>D762</f>
        <v>21.6</v>
      </c>
      <c r="E764" s="186"/>
      <c r="F764" s="186">
        <f t="shared" si="26"/>
        <v>0</v>
      </c>
    </row>
    <row r="765" spans="1:6">
      <c r="A765" s="130"/>
      <c r="B765" s="141"/>
      <c r="C765" s="130"/>
      <c r="D765" s="265"/>
      <c r="E765" s="186"/>
      <c r="F765" s="186">
        <f t="shared" si="26"/>
        <v>0</v>
      </c>
    </row>
    <row r="766" spans="1:6">
      <c r="A766" s="130"/>
      <c r="B766" s="237" t="s">
        <v>267</v>
      </c>
      <c r="C766" s="130" t="s">
        <v>149</v>
      </c>
      <c r="D766" s="265">
        <f>2*2</f>
        <v>4</v>
      </c>
      <c r="E766" s="186"/>
      <c r="F766" s="186">
        <f t="shared" si="26"/>
        <v>0</v>
      </c>
    </row>
    <row r="767" spans="1:6">
      <c r="A767" s="130"/>
      <c r="B767" s="237"/>
      <c r="C767" s="130"/>
      <c r="D767" s="265"/>
      <c r="E767" s="186"/>
      <c r="F767" s="186">
        <f t="shared" si="26"/>
        <v>0</v>
      </c>
    </row>
    <row r="768" spans="1:6">
      <c r="A768" s="130"/>
      <c r="B768" s="141" t="s">
        <v>268</v>
      </c>
      <c r="C768" s="130" t="s">
        <v>149</v>
      </c>
      <c r="D768" s="265">
        <f>D766</f>
        <v>4</v>
      </c>
      <c r="E768" s="186"/>
      <c r="F768" s="186">
        <f t="shared" si="26"/>
        <v>0</v>
      </c>
    </row>
    <row r="769" spans="1:6">
      <c r="A769" s="130"/>
      <c r="B769" s="141"/>
      <c r="C769" s="130"/>
      <c r="D769" s="265"/>
      <c r="E769" s="186"/>
      <c r="F769" s="186">
        <f t="shared" si="26"/>
        <v>0</v>
      </c>
    </row>
    <row r="770" spans="1:6">
      <c r="A770" s="130"/>
      <c r="B770" s="141" t="s">
        <v>269</v>
      </c>
      <c r="C770" s="130" t="s">
        <v>54</v>
      </c>
      <c r="D770" s="265">
        <v>8</v>
      </c>
      <c r="E770" s="186"/>
      <c r="F770" s="186">
        <f t="shared" si="26"/>
        <v>0</v>
      </c>
    </row>
    <row r="771" spans="1:6" ht="13" thickBot="1">
      <c r="A771" s="130"/>
      <c r="B771" s="237"/>
      <c r="C771" s="130"/>
      <c r="D771" s="130"/>
      <c r="E771" s="186"/>
      <c r="F771" s="186"/>
    </row>
    <row r="772" spans="1:6" ht="13.5" thickBot="1">
      <c r="A772" s="200"/>
      <c r="B772" s="264" t="s">
        <v>216</v>
      </c>
      <c r="C772" s="264"/>
      <c r="D772" s="264"/>
      <c r="E772" s="264"/>
      <c r="F772" s="124">
        <f>SUM(F762:F770)</f>
        <v>0</v>
      </c>
    </row>
    <row r="773" spans="1:6">
      <c r="A773" s="130"/>
      <c r="B773" s="237"/>
      <c r="C773" s="130"/>
      <c r="D773" s="130"/>
      <c r="E773" s="186"/>
      <c r="F773" s="186"/>
    </row>
    <row r="774" spans="1:6" ht="13">
      <c r="A774" s="130"/>
      <c r="B774" s="257" t="s">
        <v>328</v>
      </c>
      <c r="C774" s="130"/>
      <c r="D774" s="130"/>
      <c r="E774" s="186"/>
      <c r="F774" s="186"/>
    </row>
    <row r="775" spans="1:6">
      <c r="A775" s="130"/>
      <c r="B775" s="237"/>
      <c r="C775" s="130"/>
      <c r="D775" s="130"/>
      <c r="E775" s="186"/>
      <c r="F775" s="186"/>
    </row>
    <row r="776" spans="1:6">
      <c r="A776" s="130"/>
      <c r="B776" s="237" t="s">
        <v>260</v>
      </c>
      <c r="C776" s="130" t="s">
        <v>149</v>
      </c>
      <c r="D776" s="265">
        <f>(7*2+3.5*2)*2.7</f>
        <v>56.7</v>
      </c>
      <c r="E776" s="186"/>
      <c r="F776" s="186">
        <f>D776*E776</f>
        <v>0</v>
      </c>
    </row>
    <row r="777" spans="1:6">
      <c r="A777" s="130"/>
      <c r="B777" s="237"/>
      <c r="C777" s="130"/>
      <c r="D777" s="265"/>
      <c r="E777" s="186"/>
      <c r="F777" s="186">
        <f t="shared" ref="F777:F784" si="27">D777*E777</f>
        <v>0</v>
      </c>
    </row>
    <row r="778" spans="1:6">
      <c r="A778" s="130"/>
      <c r="B778" s="141" t="s">
        <v>273</v>
      </c>
      <c r="C778" s="130" t="s">
        <v>149</v>
      </c>
      <c r="D778" s="265">
        <f>D776</f>
        <v>56.7</v>
      </c>
      <c r="E778" s="186"/>
      <c r="F778" s="186">
        <f t="shared" si="27"/>
        <v>0</v>
      </c>
    </row>
    <row r="779" spans="1:6">
      <c r="A779" s="130"/>
      <c r="B779" s="237"/>
      <c r="C779" s="130"/>
      <c r="D779" s="130"/>
      <c r="E779" s="186"/>
      <c r="F779" s="186">
        <f t="shared" si="27"/>
        <v>0</v>
      </c>
    </row>
    <row r="780" spans="1:6">
      <c r="A780" s="130"/>
      <c r="B780" s="237" t="s">
        <v>267</v>
      </c>
      <c r="C780" s="130" t="s">
        <v>149</v>
      </c>
      <c r="D780" s="265">
        <v>24.5</v>
      </c>
      <c r="E780" s="186"/>
      <c r="F780" s="186">
        <f t="shared" si="27"/>
        <v>0</v>
      </c>
    </row>
    <row r="781" spans="1:6">
      <c r="A781" s="130"/>
      <c r="B781" s="237"/>
      <c r="C781" s="130"/>
      <c r="D781" s="265"/>
      <c r="E781" s="186"/>
      <c r="F781" s="186">
        <f t="shared" si="27"/>
        <v>0</v>
      </c>
    </row>
    <row r="782" spans="1:6">
      <c r="A782" s="130"/>
      <c r="B782" s="141" t="s">
        <v>268</v>
      </c>
      <c r="C782" s="130" t="s">
        <v>149</v>
      </c>
      <c r="D782" s="265">
        <f>D780</f>
        <v>24.5</v>
      </c>
      <c r="E782" s="186"/>
      <c r="F782" s="186">
        <f t="shared" si="27"/>
        <v>0</v>
      </c>
    </row>
    <row r="783" spans="1:6">
      <c r="A783" s="130"/>
      <c r="B783" s="141"/>
      <c r="C783" s="130"/>
      <c r="D783" s="265"/>
      <c r="E783" s="186"/>
      <c r="F783" s="186">
        <f t="shared" si="27"/>
        <v>0</v>
      </c>
    </row>
    <row r="784" spans="1:6">
      <c r="A784" s="130"/>
      <c r="B784" s="141" t="s">
        <v>269</v>
      </c>
      <c r="C784" s="130" t="s">
        <v>54</v>
      </c>
      <c r="D784" s="265">
        <v>21</v>
      </c>
      <c r="E784" s="186"/>
      <c r="F784" s="186">
        <f t="shared" si="27"/>
        <v>0</v>
      </c>
    </row>
    <row r="785" spans="1:6">
      <c r="A785" s="130"/>
      <c r="B785" s="237"/>
      <c r="C785" s="130"/>
      <c r="D785" s="130"/>
      <c r="E785" s="186"/>
      <c r="F785" s="186"/>
    </row>
    <row r="786" spans="1:6" ht="13" thickBot="1">
      <c r="A786" s="130"/>
      <c r="B786" s="237"/>
      <c r="C786" s="130"/>
      <c r="D786" s="130"/>
      <c r="E786" s="186"/>
      <c r="F786" s="186"/>
    </row>
    <row r="787" spans="1:6" ht="13.5" thickBot="1">
      <c r="A787" s="200"/>
      <c r="B787" s="264" t="s">
        <v>216</v>
      </c>
      <c r="C787" s="264"/>
      <c r="D787" s="264"/>
      <c r="E787" s="264"/>
      <c r="F787" s="124">
        <f>SUM(F776:F785)</f>
        <v>0</v>
      </c>
    </row>
    <row r="788" spans="1:6">
      <c r="A788" s="130"/>
      <c r="B788" s="237"/>
      <c r="C788" s="130"/>
      <c r="D788" s="130"/>
      <c r="E788" s="186"/>
      <c r="F788" s="186"/>
    </row>
    <row r="789" spans="1:6" ht="13">
      <c r="A789" s="130"/>
      <c r="B789" s="257" t="s">
        <v>329</v>
      </c>
      <c r="C789" s="130"/>
      <c r="D789" s="130"/>
      <c r="E789" s="186"/>
      <c r="F789" s="186"/>
    </row>
    <row r="790" spans="1:6">
      <c r="A790" s="130"/>
      <c r="B790" s="237"/>
      <c r="C790" s="130"/>
      <c r="D790" s="130"/>
      <c r="E790" s="186"/>
      <c r="F790" s="186"/>
    </row>
    <row r="791" spans="1:6">
      <c r="A791" s="130"/>
      <c r="B791" s="237" t="s">
        <v>330</v>
      </c>
      <c r="C791" s="130" t="s">
        <v>149</v>
      </c>
      <c r="D791" s="265">
        <f>86.4+86.4+40.5+86.4+43.2+137.7</f>
        <v>480.6</v>
      </c>
      <c r="E791" s="186"/>
      <c r="F791" s="186">
        <f>D791*E791</f>
        <v>0</v>
      </c>
    </row>
    <row r="792" spans="1:6">
      <c r="A792" s="130"/>
      <c r="B792" s="237"/>
      <c r="C792" s="130"/>
      <c r="D792" s="130"/>
      <c r="E792" s="186"/>
      <c r="F792" s="186">
        <f t="shared" ref="F792:F795" si="28">D792*E792</f>
        <v>0</v>
      </c>
    </row>
    <row r="793" spans="1:6">
      <c r="A793" s="130"/>
      <c r="B793" s="237" t="s">
        <v>331</v>
      </c>
      <c r="C793" s="130" t="s">
        <v>149</v>
      </c>
      <c r="D793" s="265">
        <f>480.6/2</f>
        <v>240.3</v>
      </c>
      <c r="E793" s="186"/>
      <c r="F793" s="186">
        <f t="shared" si="28"/>
        <v>0</v>
      </c>
    </row>
    <row r="794" spans="1:6">
      <c r="A794" s="130"/>
      <c r="B794" s="237"/>
      <c r="C794" s="130"/>
      <c r="D794" s="130"/>
      <c r="E794" s="186"/>
      <c r="F794" s="186">
        <f t="shared" si="28"/>
        <v>0</v>
      </c>
    </row>
    <row r="795" spans="1:6">
      <c r="A795" s="130"/>
      <c r="B795" s="141" t="s">
        <v>273</v>
      </c>
      <c r="C795" s="130" t="s">
        <v>149</v>
      </c>
      <c r="D795" s="265">
        <v>480.6</v>
      </c>
      <c r="E795" s="186"/>
      <c r="F795" s="186">
        <f t="shared" si="28"/>
        <v>0</v>
      </c>
    </row>
    <row r="796" spans="1:6" ht="13" thickBot="1">
      <c r="A796" s="130"/>
      <c r="B796" s="237"/>
      <c r="C796" s="130"/>
      <c r="D796" s="130"/>
      <c r="E796" s="186"/>
      <c r="F796" s="186"/>
    </row>
    <row r="797" spans="1:6" ht="13.5" thickBot="1">
      <c r="A797" s="200"/>
      <c r="B797" s="264" t="s">
        <v>216</v>
      </c>
      <c r="C797" s="264"/>
      <c r="D797" s="264"/>
      <c r="E797" s="264"/>
      <c r="F797" s="124">
        <f>SUM(F791:F795)</f>
        <v>0</v>
      </c>
    </row>
    <row r="798" spans="1:6">
      <c r="A798" s="130"/>
      <c r="B798" s="269"/>
      <c r="C798" s="130"/>
      <c r="D798" s="130"/>
      <c r="E798" s="186"/>
      <c r="F798" s="186"/>
    </row>
    <row r="799" spans="1:6" ht="13">
      <c r="A799" s="130"/>
      <c r="B799" s="270" t="s">
        <v>332</v>
      </c>
      <c r="C799" s="130"/>
      <c r="D799" s="130"/>
      <c r="E799" s="186"/>
      <c r="F799" s="186"/>
    </row>
    <row r="800" spans="1:6">
      <c r="A800" s="130"/>
      <c r="B800" s="237"/>
      <c r="C800" s="130"/>
      <c r="D800" s="130"/>
      <c r="E800" s="186"/>
      <c r="F800" s="186"/>
    </row>
    <row r="801" spans="1:6" ht="13">
      <c r="A801" s="130"/>
      <c r="B801" s="257" t="s">
        <v>199</v>
      </c>
      <c r="C801" s="130"/>
      <c r="D801" s="130"/>
      <c r="E801" s="186"/>
      <c r="F801" s="186"/>
    </row>
    <row r="802" spans="1:6">
      <c r="A802" s="130"/>
      <c r="B802" s="237"/>
      <c r="C802" s="130"/>
      <c r="D802" s="130"/>
      <c r="E802" s="186"/>
      <c r="F802" s="186"/>
    </row>
    <row r="803" spans="1:6">
      <c r="A803" s="130"/>
      <c r="B803" s="237" t="s">
        <v>333</v>
      </c>
      <c r="C803" s="130" t="s">
        <v>139</v>
      </c>
      <c r="D803" s="130">
        <v>10</v>
      </c>
      <c r="E803" s="186"/>
      <c r="F803" s="186">
        <f>D803*E803</f>
        <v>0</v>
      </c>
    </row>
    <row r="804" spans="1:6">
      <c r="A804" s="130"/>
      <c r="B804" s="237"/>
      <c r="C804" s="130"/>
      <c r="D804" s="130"/>
      <c r="E804" s="186"/>
      <c r="F804" s="186">
        <f t="shared" ref="F804:F810" si="29">D804*E804</f>
        <v>0</v>
      </c>
    </row>
    <row r="805" spans="1:6">
      <c r="A805" s="130"/>
      <c r="B805" s="237" t="s">
        <v>334</v>
      </c>
      <c r="C805" s="130" t="s">
        <v>139</v>
      </c>
      <c r="D805" s="130">
        <v>10</v>
      </c>
      <c r="E805" s="186"/>
      <c r="F805" s="186">
        <f t="shared" si="29"/>
        <v>0</v>
      </c>
    </row>
    <row r="806" spans="1:6">
      <c r="A806" s="130"/>
      <c r="B806" s="237"/>
      <c r="C806" s="130"/>
      <c r="D806" s="130"/>
      <c r="E806" s="186"/>
      <c r="F806" s="186">
        <f t="shared" si="29"/>
        <v>0</v>
      </c>
    </row>
    <row r="807" spans="1:6" ht="25">
      <c r="A807" s="130"/>
      <c r="B807" s="269" t="s">
        <v>335</v>
      </c>
      <c r="C807" s="130" t="s">
        <v>58</v>
      </c>
      <c r="D807" s="130">
        <v>1</v>
      </c>
      <c r="E807" s="186"/>
      <c r="F807" s="186">
        <f t="shared" si="29"/>
        <v>0</v>
      </c>
    </row>
    <row r="808" spans="1:6">
      <c r="A808" s="130"/>
      <c r="B808" s="269"/>
      <c r="C808" s="130"/>
      <c r="D808" s="130"/>
      <c r="E808" s="186"/>
      <c r="F808" s="186">
        <f t="shared" si="29"/>
        <v>0</v>
      </c>
    </row>
    <row r="809" spans="1:6" ht="13">
      <c r="A809" s="130"/>
      <c r="B809" s="257" t="s">
        <v>205</v>
      </c>
      <c r="C809" s="130"/>
      <c r="D809" s="130"/>
      <c r="E809" s="186"/>
      <c r="F809" s="186">
        <f t="shared" si="29"/>
        <v>0</v>
      </c>
    </row>
    <row r="810" spans="1:6" ht="25">
      <c r="A810" s="130"/>
      <c r="B810" s="271" t="s">
        <v>336</v>
      </c>
      <c r="C810" s="130" t="s">
        <v>58</v>
      </c>
      <c r="D810" s="130">
        <v>1</v>
      </c>
      <c r="E810" s="186"/>
      <c r="F810" s="186">
        <f t="shared" si="29"/>
        <v>0</v>
      </c>
    </row>
    <row r="811" spans="1:6">
      <c r="A811" s="130"/>
      <c r="B811" s="269"/>
      <c r="C811" s="130"/>
      <c r="D811" s="130"/>
      <c r="E811" s="186"/>
      <c r="F811" s="186"/>
    </row>
    <row r="812" spans="1:6" ht="13" thickBot="1">
      <c r="A812" s="130"/>
      <c r="B812" s="271"/>
      <c r="C812" s="130"/>
      <c r="D812" s="130"/>
      <c r="E812" s="186"/>
      <c r="F812" s="186"/>
    </row>
    <row r="813" spans="1:6" ht="13.5" thickBot="1">
      <c r="A813" s="200"/>
      <c r="B813" s="264" t="s">
        <v>216</v>
      </c>
      <c r="C813" s="264"/>
      <c r="D813" s="264"/>
      <c r="E813" s="264"/>
      <c r="F813" s="124">
        <f>SUM(F803:F810)</f>
        <v>0</v>
      </c>
    </row>
    <row r="814" spans="1:6">
      <c r="A814" s="130"/>
      <c r="B814" s="237"/>
      <c r="C814" s="237"/>
      <c r="D814" s="237"/>
      <c r="E814" s="186"/>
      <c r="F814" s="186"/>
    </row>
    <row r="815" spans="1:6" ht="13">
      <c r="A815" s="130"/>
      <c r="B815" s="257" t="s">
        <v>221</v>
      </c>
      <c r="C815" s="237"/>
      <c r="D815" s="237"/>
      <c r="E815" s="186"/>
      <c r="F815" s="186">
        <f>F813+F797+F787+F772+F758+F742+F723+F708+F699+F686+F640+F632+F623+F614+F602+F578+F558+F544+F518+F478+F440+F407</f>
        <v>0</v>
      </c>
    </row>
  </sheetData>
  <sheetProtection selectLockedCells="1" selectUnlockedCells="1"/>
  <mergeCells count="18">
    <mergeCell ref="A1:F1"/>
    <mergeCell ref="A172:F172"/>
    <mergeCell ref="B170:E170"/>
    <mergeCell ref="B84:F84"/>
    <mergeCell ref="B120:F120"/>
    <mergeCell ref="B139:F139"/>
    <mergeCell ref="B150:F150"/>
    <mergeCell ref="B151:E151"/>
    <mergeCell ref="B83:E83"/>
    <mergeCell ref="B119:E119"/>
    <mergeCell ref="B138:E138"/>
    <mergeCell ref="B149:E149"/>
    <mergeCell ref="B332:E332"/>
    <mergeCell ref="A359:F359"/>
    <mergeCell ref="B357:E357"/>
    <mergeCell ref="B308:E308"/>
    <mergeCell ref="B343:E343"/>
    <mergeCell ref="B356:E356"/>
  </mergeCells>
  <pageMargins left="0.23622047244094491" right="0.23622047244094491" top="0.74803149606299213" bottom="0.74803149606299213" header="0.31496062992125984" footer="0.31496062992125984"/>
  <pageSetup paperSize="8" scale="72"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70695-34D1-4F46-AFAE-D019132F432F}">
  <sheetPr>
    <pageSetUpPr fitToPage="1"/>
  </sheetPr>
  <dimension ref="A1:E43"/>
  <sheetViews>
    <sheetView zoomScale="90" zoomScaleNormal="90" workbookViewId="0">
      <selection sqref="A1:D43"/>
    </sheetView>
  </sheetViews>
  <sheetFormatPr defaultColWidth="6" defaultRowHeight="12.5"/>
  <cols>
    <col min="1" max="1" width="11.81640625" style="211" customWidth="1"/>
    <col min="2" max="2" width="34.7265625" style="204" customWidth="1"/>
    <col min="3" max="3" width="39.54296875" style="205" customWidth="1"/>
    <col min="4" max="4" width="20.54296875" style="212" customWidth="1"/>
    <col min="5" max="5" width="11.1796875" style="203" customWidth="1"/>
    <col min="6" max="250" width="6" style="203"/>
    <col min="251" max="251" width="11.81640625" style="203" customWidth="1"/>
    <col min="252" max="252" width="34.7265625" style="203" customWidth="1"/>
    <col min="253" max="253" width="39.54296875" style="203" customWidth="1"/>
    <col min="254" max="254" width="20.54296875" style="203" customWidth="1"/>
    <col min="255" max="255" width="11.1796875" style="203" customWidth="1"/>
    <col min="256" max="256" width="6" style="203"/>
    <col min="257" max="257" width="10.7265625" style="203" customWidth="1"/>
    <col min="258" max="506" width="6" style="203"/>
    <col min="507" max="507" width="11.81640625" style="203" customWidth="1"/>
    <col min="508" max="508" width="34.7265625" style="203" customWidth="1"/>
    <col min="509" max="509" width="39.54296875" style="203" customWidth="1"/>
    <col min="510" max="510" width="20.54296875" style="203" customWidth="1"/>
    <col min="511" max="511" width="11.1796875" style="203" customWidth="1"/>
    <col min="512" max="512" width="6" style="203"/>
    <col min="513" max="513" width="10.7265625" style="203" customWidth="1"/>
    <col min="514" max="762" width="6" style="203"/>
    <col min="763" max="763" width="11.81640625" style="203" customWidth="1"/>
    <col min="764" max="764" width="34.7265625" style="203" customWidth="1"/>
    <col min="765" max="765" width="39.54296875" style="203" customWidth="1"/>
    <col min="766" max="766" width="20.54296875" style="203" customWidth="1"/>
    <col min="767" max="767" width="11.1796875" style="203" customWidth="1"/>
    <col min="768" max="768" width="6" style="203"/>
    <col min="769" max="769" width="10.7265625" style="203" customWidth="1"/>
    <col min="770" max="1018" width="6" style="203"/>
    <col min="1019" max="1019" width="11.81640625" style="203" customWidth="1"/>
    <col min="1020" max="1020" width="34.7265625" style="203" customWidth="1"/>
    <col min="1021" max="1021" width="39.54296875" style="203" customWidth="1"/>
    <col min="1022" max="1022" width="20.54296875" style="203" customWidth="1"/>
    <col min="1023" max="1023" width="11.1796875" style="203" customWidth="1"/>
    <col min="1024" max="1024" width="6" style="203"/>
    <col min="1025" max="1025" width="10.7265625" style="203" customWidth="1"/>
    <col min="1026" max="1274" width="6" style="203"/>
    <col min="1275" max="1275" width="11.81640625" style="203" customWidth="1"/>
    <col min="1276" max="1276" width="34.7265625" style="203" customWidth="1"/>
    <col min="1277" max="1277" width="39.54296875" style="203" customWidth="1"/>
    <col min="1278" max="1278" width="20.54296875" style="203" customWidth="1"/>
    <col min="1279" max="1279" width="11.1796875" style="203" customWidth="1"/>
    <col min="1280" max="1280" width="6" style="203"/>
    <col min="1281" max="1281" width="10.7265625" style="203" customWidth="1"/>
    <col min="1282" max="1530" width="6" style="203"/>
    <col min="1531" max="1531" width="11.81640625" style="203" customWidth="1"/>
    <col min="1532" max="1532" width="34.7265625" style="203" customWidth="1"/>
    <col min="1533" max="1533" width="39.54296875" style="203" customWidth="1"/>
    <col min="1534" max="1534" width="20.54296875" style="203" customWidth="1"/>
    <col min="1535" max="1535" width="11.1796875" style="203" customWidth="1"/>
    <col min="1536" max="1536" width="6" style="203"/>
    <col min="1537" max="1537" width="10.7265625" style="203" customWidth="1"/>
    <col min="1538" max="1786" width="6" style="203"/>
    <col min="1787" max="1787" width="11.81640625" style="203" customWidth="1"/>
    <col min="1788" max="1788" width="34.7265625" style="203" customWidth="1"/>
    <col min="1789" max="1789" width="39.54296875" style="203" customWidth="1"/>
    <col min="1790" max="1790" width="20.54296875" style="203" customWidth="1"/>
    <col min="1791" max="1791" width="11.1796875" style="203" customWidth="1"/>
    <col min="1792" max="1792" width="6" style="203"/>
    <col min="1793" max="1793" width="10.7265625" style="203" customWidth="1"/>
    <col min="1794" max="2042" width="6" style="203"/>
    <col min="2043" max="2043" width="11.81640625" style="203" customWidth="1"/>
    <col min="2044" max="2044" width="34.7265625" style="203" customWidth="1"/>
    <col min="2045" max="2045" width="39.54296875" style="203" customWidth="1"/>
    <col min="2046" max="2046" width="20.54296875" style="203" customWidth="1"/>
    <col min="2047" max="2047" width="11.1796875" style="203" customWidth="1"/>
    <col min="2048" max="2048" width="6" style="203"/>
    <col min="2049" max="2049" width="10.7265625" style="203" customWidth="1"/>
    <col min="2050" max="2298" width="6" style="203"/>
    <col min="2299" max="2299" width="11.81640625" style="203" customWidth="1"/>
    <col min="2300" max="2300" width="34.7265625" style="203" customWidth="1"/>
    <col min="2301" max="2301" width="39.54296875" style="203" customWidth="1"/>
    <col min="2302" max="2302" width="20.54296875" style="203" customWidth="1"/>
    <col min="2303" max="2303" width="11.1796875" style="203" customWidth="1"/>
    <col min="2304" max="2304" width="6" style="203"/>
    <col min="2305" max="2305" width="10.7265625" style="203" customWidth="1"/>
    <col min="2306" max="2554" width="6" style="203"/>
    <col min="2555" max="2555" width="11.81640625" style="203" customWidth="1"/>
    <col min="2556" max="2556" width="34.7265625" style="203" customWidth="1"/>
    <col min="2557" max="2557" width="39.54296875" style="203" customWidth="1"/>
    <col min="2558" max="2558" width="20.54296875" style="203" customWidth="1"/>
    <col min="2559" max="2559" width="11.1796875" style="203" customWidth="1"/>
    <col min="2560" max="2560" width="6" style="203"/>
    <col min="2561" max="2561" width="10.7265625" style="203" customWidth="1"/>
    <col min="2562" max="2810" width="6" style="203"/>
    <col min="2811" max="2811" width="11.81640625" style="203" customWidth="1"/>
    <col min="2812" max="2812" width="34.7265625" style="203" customWidth="1"/>
    <col min="2813" max="2813" width="39.54296875" style="203" customWidth="1"/>
    <col min="2814" max="2814" width="20.54296875" style="203" customWidth="1"/>
    <col min="2815" max="2815" width="11.1796875" style="203" customWidth="1"/>
    <col min="2816" max="2816" width="6" style="203"/>
    <col min="2817" max="2817" width="10.7265625" style="203" customWidth="1"/>
    <col min="2818" max="3066" width="6" style="203"/>
    <col min="3067" max="3067" width="11.81640625" style="203" customWidth="1"/>
    <col min="3068" max="3068" width="34.7265625" style="203" customWidth="1"/>
    <col min="3069" max="3069" width="39.54296875" style="203" customWidth="1"/>
    <col min="3070" max="3070" width="20.54296875" style="203" customWidth="1"/>
    <col min="3071" max="3071" width="11.1796875" style="203" customWidth="1"/>
    <col min="3072" max="3072" width="6" style="203"/>
    <col min="3073" max="3073" width="10.7265625" style="203" customWidth="1"/>
    <col min="3074" max="3322" width="6" style="203"/>
    <col min="3323" max="3323" width="11.81640625" style="203" customWidth="1"/>
    <col min="3324" max="3324" width="34.7265625" style="203" customWidth="1"/>
    <col min="3325" max="3325" width="39.54296875" style="203" customWidth="1"/>
    <col min="3326" max="3326" width="20.54296875" style="203" customWidth="1"/>
    <col min="3327" max="3327" width="11.1796875" style="203" customWidth="1"/>
    <col min="3328" max="3328" width="6" style="203"/>
    <col min="3329" max="3329" width="10.7265625" style="203" customWidth="1"/>
    <col min="3330" max="3578" width="6" style="203"/>
    <col min="3579" max="3579" width="11.81640625" style="203" customWidth="1"/>
    <col min="3580" max="3580" width="34.7265625" style="203" customWidth="1"/>
    <col min="3581" max="3581" width="39.54296875" style="203" customWidth="1"/>
    <col min="3582" max="3582" width="20.54296875" style="203" customWidth="1"/>
    <col min="3583" max="3583" width="11.1796875" style="203" customWidth="1"/>
    <col min="3584" max="3584" width="6" style="203"/>
    <col min="3585" max="3585" width="10.7265625" style="203" customWidth="1"/>
    <col min="3586" max="3834" width="6" style="203"/>
    <col min="3835" max="3835" width="11.81640625" style="203" customWidth="1"/>
    <col min="3836" max="3836" width="34.7265625" style="203" customWidth="1"/>
    <col min="3837" max="3837" width="39.54296875" style="203" customWidth="1"/>
    <col min="3838" max="3838" width="20.54296875" style="203" customWidth="1"/>
    <col min="3839" max="3839" width="11.1796875" style="203" customWidth="1"/>
    <col min="3840" max="3840" width="6" style="203"/>
    <col min="3841" max="3841" width="10.7265625" style="203" customWidth="1"/>
    <col min="3842" max="4090" width="6" style="203"/>
    <col min="4091" max="4091" width="11.81640625" style="203" customWidth="1"/>
    <col min="4092" max="4092" width="34.7265625" style="203" customWidth="1"/>
    <col min="4093" max="4093" width="39.54296875" style="203" customWidth="1"/>
    <col min="4094" max="4094" width="20.54296875" style="203" customWidth="1"/>
    <col min="4095" max="4095" width="11.1796875" style="203" customWidth="1"/>
    <col min="4096" max="4096" width="6" style="203"/>
    <col min="4097" max="4097" width="10.7265625" style="203" customWidth="1"/>
    <col min="4098" max="4346" width="6" style="203"/>
    <col min="4347" max="4347" width="11.81640625" style="203" customWidth="1"/>
    <col min="4348" max="4348" width="34.7265625" style="203" customWidth="1"/>
    <col min="4349" max="4349" width="39.54296875" style="203" customWidth="1"/>
    <col min="4350" max="4350" width="20.54296875" style="203" customWidth="1"/>
    <col min="4351" max="4351" width="11.1796875" style="203" customWidth="1"/>
    <col min="4352" max="4352" width="6" style="203"/>
    <col min="4353" max="4353" width="10.7265625" style="203" customWidth="1"/>
    <col min="4354" max="4602" width="6" style="203"/>
    <col min="4603" max="4603" width="11.81640625" style="203" customWidth="1"/>
    <col min="4604" max="4604" width="34.7265625" style="203" customWidth="1"/>
    <col min="4605" max="4605" width="39.54296875" style="203" customWidth="1"/>
    <col min="4606" max="4606" width="20.54296875" style="203" customWidth="1"/>
    <col min="4607" max="4607" width="11.1796875" style="203" customWidth="1"/>
    <col min="4608" max="4608" width="6" style="203"/>
    <col min="4609" max="4609" width="10.7265625" style="203" customWidth="1"/>
    <col min="4610" max="4858" width="6" style="203"/>
    <col min="4859" max="4859" width="11.81640625" style="203" customWidth="1"/>
    <col min="4860" max="4860" width="34.7265625" style="203" customWidth="1"/>
    <col min="4861" max="4861" width="39.54296875" style="203" customWidth="1"/>
    <col min="4862" max="4862" width="20.54296875" style="203" customWidth="1"/>
    <col min="4863" max="4863" width="11.1796875" style="203" customWidth="1"/>
    <col min="4864" max="4864" width="6" style="203"/>
    <col min="4865" max="4865" width="10.7265625" style="203" customWidth="1"/>
    <col min="4866" max="5114" width="6" style="203"/>
    <col min="5115" max="5115" width="11.81640625" style="203" customWidth="1"/>
    <col min="5116" max="5116" width="34.7265625" style="203" customWidth="1"/>
    <col min="5117" max="5117" width="39.54296875" style="203" customWidth="1"/>
    <col min="5118" max="5118" width="20.54296875" style="203" customWidth="1"/>
    <col min="5119" max="5119" width="11.1796875" style="203" customWidth="1"/>
    <col min="5120" max="5120" width="6" style="203"/>
    <col min="5121" max="5121" width="10.7265625" style="203" customWidth="1"/>
    <col min="5122" max="5370" width="6" style="203"/>
    <col min="5371" max="5371" width="11.81640625" style="203" customWidth="1"/>
    <col min="5372" max="5372" width="34.7265625" style="203" customWidth="1"/>
    <col min="5373" max="5373" width="39.54296875" style="203" customWidth="1"/>
    <col min="5374" max="5374" width="20.54296875" style="203" customWidth="1"/>
    <col min="5375" max="5375" width="11.1796875" style="203" customWidth="1"/>
    <col min="5376" max="5376" width="6" style="203"/>
    <col min="5377" max="5377" width="10.7265625" style="203" customWidth="1"/>
    <col min="5378" max="5626" width="6" style="203"/>
    <col min="5627" max="5627" width="11.81640625" style="203" customWidth="1"/>
    <col min="5628" max="5628" width="34.7265625" style="203" customWidth="1"/>
    <col min="5629" max="5629" width="39.54296875" style="203" customWidth="1"/>
    <col min="5630" max="5630" width="20.54296875" style="203" customWidth="1"/>
    <col min="5631" max="5631" width="11.1796875" style="203" customWidth="1"/>
    <col min="5632" max="5632" width="6" style="203"/>
    <col min="5633" max="5633" width="10.7265625" style="203" customWidth="1"/>
    <col min="5634" max="5882" width="6" style="203"/>
    <col min="5883" max="5883" width="11.81640625" style="203" customWidth="1"/>
    <col min="5884" max="5884" width="34.7265625" style="203" customWidth="1"/>
    <col min="5885" max="5885" width="39.54296875" style="203" customWidth="1"/>
    <col min="5886" max="5886" width="20.54296875" style="203" customWidth="1"/>
    <col min="5887" max="5887" width="11.1796875" style="203" customWidth="1"/>
    <col min="5888" max="5888" width="6" style="203"/>
    <col min="5889" max="5889" width="10.7265625" style="203" customWidth="1"/>
    <col min="5890" max="6138" width="6" style="203"/>
    <col min="6139" max="6139" width="11.81640625" style="203" customWidth="1"/>
    <col min="6140" max="6140" width="34.7265625" style="203" customWidth="1"/>
    <col min="6141" max="6141" width="39.54296875" style="203" customWidth="1"/>
    <col min="6142" max="6142" width="20.54296875" style="203" customWidth="1"/>
    <col min="6143" max="6143" width="11.1796875" style="203" customWidth="1"/>
    <col min="6144" max="6144" width="6" style="203"/>
    <col min="6145" max="6145" width="10.7265625" style="203" customWidth="1"/>
    <col min="6146" max="6394" width="6" style="203"/>
    <col min="6395" max="6395" width="11.81640625" style="203" customWidth="1"/>
    <col min="6396" max="6396" width="34.7265625" style="203" customWidth="1"/>
    <col min="6397" max="6397" width="39.54296875" style="203" customWidth="1"/>
    <col min="6398" max="6398" width="20.54296875" style="203" customWidth="1"/>
    <col min="6399" max="6399" width="11.1796875" style="203" customWidth="1"/>
    <col min="6400" max="6400" width="6" style="203"/>
    <col min="6401" max="6401" width="10.7265625" style="203" customWidth="1"/>
    <col min="6402" max="6650" width="6" style="203"/>
    <col min="6651" max="6651" width="11.81640625" style="203" customWidth="1"/>
    <col min="6652" max="6652" width="34.7265625" style="203" customWidth="1"/>
    <col min="6653" max="6653" width="39.54296875" style="203" customWidth="1"/>
    <col min="6654" max="6654" width="20.54296875" style="203" customWidth="1"/>
    <col min="6655" max="6655" width="11.1796875" style="203" customWidth="1"/>
    <col min="6656" max="6656" width="6" style="203"/>
    <col min="6657" max="6657" width="10.7265625" style="203" customWidth="1"/>
    <col min="6658" max="6906" width="6" style="203"/>
    <col min="6907" max="6907" width="11.81640625" style="203" customWidth="1"/>
    <col min="6908" max="6908" width="34.7265625" style="203" customWidth="1"/>
    <col min="6909" max="6909" width="39.54296875" style="203" customWidth="1"/>
    <col min="6910" max="6910" width="20.54296875" style="203" customWidth="1"/>
    <col min="6911" max="6911" width="11.1796875" style="203" customWidth="1"/>
    <col min="6912" max="6912" width="6" style="203"/>
    <col min="6913" max="6913" width="10.7265625" style="203" customWidth="1"/>
    <col min="6914" max="7162" width="6" style="203"/>
    <col min="7163" max="7163" width="11.81640625" style="203" customWidth="1"/>
    <col min="7164" max="7164" width="34.7265625" style="203" customWidth="1"/>
    <col min="7165" max="7165" width="39.54296875" style="203" customWidth="1"/>
    <col min="7166" max="7166" width="20.54296875" style="203" customWidth="1"/>
    <col min="7167" max="7167" width="11.1796875" style="203" customWidth="1"/>
    <col min="7168" max="7168" width="6" style="203"/>
    <col min="7169" max="7169" width="10.7265625" style="203" customWidth="1"/>
    <col min="7170" max="7418" width="6" style="203"/>
    <col min="7419" max="7419" width="11.81640625" style="203" customWidth="1"/>
    <col min="7420" max="7420" width="34.7265625" style="203" customWidth="1"/>
    <col min="7421" max="7421" width="39.54296875" style="203" customWidth="1"/>
    <col min="7422" max="7422" width="20.54296875" style="203" customWidth="1"/>
    <col min="7423" max="7423" width="11.1796875" style="203" customWidth="1"/>
    <col min="7424" max="7424" width="6" style="203"/>
    <col min="7425" max="7425" width="10.7265625" style="203" customWidth="1"/>
    <col min="7426" max="7674" width="6" style="203"/>
    <col min="7675" max="7675" width="11.81640625" style="203" customWidth="1"/>
    <col min="7676" max="7676" width="34.7265625" style="203" customWidth="1"/>
    <col min="7677" max="7677" width="39.54296875" style="203" customWidth="1"/>
    <col min="7678" max="7678" width="20.54296875" style="203" customWidth="1"/>
    <col min="7679" max="7679" width="11.1796875" style="203" customWidth="1"/>
    <col min="7680" max="7680" width="6" style="203"/>
    <col min="7681" max="7681" width="10.7265625" style="203" customWidth="1"/>
    <col min="7682" max="7930" width="6" style="203"/>
    <col min="7931" max="7931" width="11.81640625" style="203" customWidth="1"/>
    <col min="7932" max="7932" width="34.7265625" style="203" customWidth="1"/>
    <col min="7933" max="7933" width="39.54296875" style="203" customWidth="1"/>
    <col min="7934" max="7934" width="20.54296875" style="203" customWidth="1"/>
    <col min="7935" max="7935" width="11.1796875" style="203" customWidth="1"/>
    <col min="7936" max="7936" width="6" style="203"/>
    <col min="7937" max="7937" width="10.7265625" style="203" customWidth="1"/>
    <col min="7938" max="8186" width="6" style="203"/>
    <col min="8187" max="8187" width="11.81640625" style="203" customWidth="1"/>
    <col min="8188" max="8188" width="34.7265625" style="203" customWidth="1"/>
    <col min="8189" max="8189" width="39.54296875" style="203" customWidth="1"/>
    <col min="8190" max="8190" width="20.54296875" style="203" customWidth="1"/>
    <col min="8191" max="8191" width="11.1796875" style="203" customWidth="1"/>
    <col min="8192" max="8192" width="6" style="203"/>
    <col min="8193" max="8193" width="10.7265625" style="203" customWidth="1"/>
    <col min="8194" max="8442" width="6" style="203"/>
    <col min="8443" max="8443" width="11.81640625" style="203" customWidth="1"/>
    <col min="8444" max="8444" width="34.7265625" style="203" customWidth="1"/>
    <col min="8445" max="8445" width="39.54296875" style="203" customWidth="1"/>
    <col min="8446" max="8446" width="20.54296875" style="203" customWidth="1"/>
    <col min="8447" max="8447" width="11.1796875" style="203" customWidth="1"/>
    <col min="8448" max="8448" width="6" style="203"/>
    <col min="8449" max="8449" width="10.7265625" style="203" customWidth="1"/>
    <col min="8450" max="8698" width="6" style="203"/>
    <col min="8699" max="8699" width="11.81640625" style="203" customWidth="1"/>
    <col min="8700" max="8700" width="34.7265625" style="203" customWidth="1"/>
    <col min="8701" max="8701" width="39.54296875" style="203" customWidth="1"/>
    <col min="8702" max="8702" width="20.54296875" style="203" customWidth="1"/>
    <col min="8703" max="8703" width="11.1796875" style="203" customWidth="1"/>
    <col min="8704" max="8704" width="6" style="203"/>
    <col min="8705" max="8705" width="10.7265625" style="203" customWidth="1"/>
    <col min="8706" max="8954" width="6" style="203"/>
    <col min="8955" max="8955" width="11.81640625" style="203" customWidth="1"/>
    <col min="8956" max="8956" width="34.7265625" style="203" customWidth="1"/>
    <col min="8957" max="8957" width="39.54296875" style="203" customWidth="1"/>
    <col min="8958" max="8958" width="20.54296875" style="203" customWidth="1"/>
    <col min="8959" max="8959" width="11.1796875" style="203" customWidth="1"/>
    <col min="8960" max="8960" width="6" style="203"/>
    <col min="8961" max="8961" width="10.7265625" style="203" customWidth="1"/>
    <col min="8962" max="9210" width="6" style="203"/>
    <col min="9211" max="9211" width="11.81640625" style="203" customWidth="1"/>
    <col min="9212" max="9212" width="34.7265625" style="203" customWidth="1"/>
    <col min="9213" max="9213" width="39.54296875" style="203" customWidth="1"/>
    <col min="9214" max="9214" width="20.54296875" style="203" customWidth="1"/>
    <col min="9215" max="9215" width="11.1796875" style="203" customWidth="1"/>
    <col min="9216" max="9216" width="6" style="203"/>
    <col min="9217" max="9217" width="10.7265625" style="203" customWidth="1"/>
    <col min="9218" max="9466" width="6" style="203"/>
    <col min="9467" max="9467" width="11.81640625" style="203" customWidth="1"/>
    <col min="9468" max="9468" width="34.7265625" style="203" customWidth="1"/>
    <col min="9469" max="9469" width="39.54296875" style="203" customWidth="1"/>
    <col min="9470" max="9470" width="20.54296875" style="203" customWidth="1"/>
    <col min="9471" max="9471" width="11.1796875" style="203" customWidth="1"/>
    <col min="9472" max="9472" width="6" style="203"/>
    <col min="9473" max="9473" width="10.7265625" style="203" customWidth="1"/>
    <col min="9474" max="9722" width="6" style="203"/>
    <col min="9723" max="9723" width="11.81640625" style="203" customWidth="1"/>
    <col min="9724" max="9724" width="34.7265625" style="203" customWidth="1"/>
    <col min="9725" max="9725" width="39.54296875" style="203" customWidth="1"/>
    <col min="9726" max="9726" width="20.54296875" style="203" customWidth="1"/>
    <col min="9727" max="9727" width="11.1796875" style="203" customWidth="1"/>
    <col min="9728" max="9728" width="6" style="203"/>
    <col min="9729" max="9729" width="10.7265625" style="203" customWidth="1"/>
    <col min="9730" max="9978" width="6" style="203"/>
    <col min="9979" max="9979" width="11.81640625" style="203" customWidth="1"/>
    <col min="9980" max="9980" width="34.7265625" style="203" customWidth="1"/>
    <col min="9981" max="9981" width="39.54296875" style="203" customWidth="1"/>
    <col min="9982" max="9982" width="20.54296875" style="203" customWidth="1"/>
    <col min="9983" max="9983" width="11.1796875" style="203" customWidth="1"/>
    <col min="9984" max="9984" width="6" style="203"/>
    <col min="9985" max="9985" width="10.7265625" style="203" customWidth="1"/>
    <col min="9986" max="10234" width="6" style="203"/>
    <col min="10235" max="10235" width="11.81640625" style="203" customWidth="1"/>
    <col min="10236" max="10236" width="34.7265625" style="203" customWidth="1"/>
    <col min="10237" max="10237" width="39.54296875" style="203" customWidth="1"/>
    <col min="10238" max="10238" width="20.54296875" style="203" customWidth="1"/>
    <col min="10239" max="10239" width="11.1796875" style="203" customWidth="1"/>
    <col min="10240" max="10240" width="6" style="203"/>
    <col min="10241" max="10241" width="10.7265625" style="203" customWidth="1"/>
    <col min="10242" max="10490" width="6" style="203"/>
    <col min="10491" max="10491" width="11.81640625" style="203" customWidth="1"/>
    <col min="10492" max="10492" width="34.7265625" style="203" customWidth="1"/>
    <col min="10493" max="10493" width="39.54296875" style="203" customWidth="1"/>
    <col min="10494" max="10494" width="20.54296875" style="203" customWidth="1"/>
    <col min="10495" max="10495" width="11.1796875" style="203" customWidth="1"/>
    <col min="10496" max="10496" width="6" style="203"/>
    <col min="10497" max="10497" width="10.7265625" style="203" customWidth="1"/>
    <col min="10498" max="10746" width="6" style="203"/>
    <col min="10747" max="10747" width="11.81640625" style="203" customWidth="1"/>
    <col min="10748" max="10748" width="34.7265625" style="203" customWidth="1"/>
    <col min="10749" max="10749" width="39.54296875" style="203" customWidth="1"/>
    <col min="10750" max="10750" width="20.54296875" style="203" customWidth="1"/>
    <col min="10751" max="10751" width="11.1796875" style="203" customWidth="1"/>
    <col min="10752" max="10752" width="6" style="203"/>
    <col min="10753" max="10753" width="10.7265625" style="203" customWidth="1"/>
    <col min="10754" max="11002" width="6" style="203"/>
    <col min="11003" max="11003" width="11.81640625" style="203" customWidth="1"/>
    <col min="11004" max="11004" width="34.7265625" style="203" customWidth="1"/>
    <col min="11005" max="11005" width="39.54296875" style="203" customWidth="1"/>
    <col min="11006" max="11006" width="20.54296875" style="203" customWidth="1"/>
    <col min="11007" max="11007" width="11.1796875" style="203" customWidth="1"/>
    <col min="11008" max="11008" width="6" style="203"/>
    <col min="11009" max="11009" width="10.7265625" style="203" customWidth="1"/>
    <col min="11010" max="11258" width="6" style="203"/>
    <col min="11259" max="11259" width="11.81640625" style="203" customWidth="1"/>
    <col min="11260" max="11260" width="34.7265625" style="203" customWidth="1"/>
    <col min="11261" max="11261" width="39.54296875" style="203" customWidth="1"/>
    <col min="11262" max="11262" width="20.54296875" style="203" customWidth="1"/>
    <col min="11263" max="11263" width="11.1796875" style="203" customWidth="1"/>
    <col min="11264" max="11264" width="6" style="203"/>
    <col min="11265" max="11265" width="10.7265625" style="203" customWidth="1"/>
    <col min="11266" max="11514" width="6" style="203"/>
    <col min="11515" max="11515" width="11.81640625" style="203" customWidth="1"/>
    <col min="11516" max="11516" width="34.7265625" style="203" customWidth="1"/>
    <col min="11517" max="11517" width="39.54296875" style="203" customWidth="1"/>
    <col min="11518" max="11518" width="20.54296875" style="203" customWidth="1"/>
    <col min="11519" max="11519" width="11.1796875" style="203" customWidth="1"/>
    <col min="11520" max="11520" width="6" style="203"/>
    <col min="11521" max="11521" width="10.7265625" style="203" customWidth="1"/>
    <col min="11522" max="11770" width="6" style="203"/>
    <col min="11771" max="11771" width="11.81640625" style="203" customWidth="1"/>
    <col min="11772" max="11772" width="34.7265625" style="203" customWidth="1"/>
    <col min="11773" max="11773" width="39.54296875" style="203" customWidth="1"/>
    <col min="11774" max="11774" width="20.54296875" style="203" customWidth="1"/>
    <col min="11775" max="11775" width="11.1796875" style="203" customWidth="1"/>
    <col min="11776" max="11776" width="6" style="203"/>
    <col min="11777" max="11777" width="10.7265625" style="203" customWidth="1"/>
    <col min="11778" max="12026" width="6" style="203"/>
    <col min="12027" max="12027" width="11.81640625" style="203" customWidth="1"/>
    <col min="12028" max="12028" width="34.7265625" style="203" customWidth="1"/>
    <col min="12029" max="12029" width="39.54296875" style="203" customWidth="1"/>
    <col min="12030" max="12030" width="20.54296875" style="203" customWidth="1"/>
    <col min="12031" max="12031" width="11.1796875" style="203" customWidth="1"/>
    <col min="12032" max="12032" width="6" style="203"/>
    <col min="12033" max="12033" width="10.7265625" style="203" customWidth="1"/>
    <col min="12034" max="12282" width="6" style="203"/>
    <col min="12283" max="12283" width="11.81640625" style="203" customWidth="1"/>
    <col min="12284" max="12284" width="34.7265625" style="203" customWidth="1"/>
    <col min="12285" max="12285" width="39.54296875" style="203" customWidth="1"/>
    <col min="12286" max="12286" width="20.54296875" style="203" customWidth="1"/>
    <col min="12287" max="12287" width="11.1796875" style="203" customWidth="1"/>
    <col min="12288" max="12288" width="6" style="203"/>
    <col min="12289" max="12289" width="10.7265625" style="203" customWidth="1"/>
    <col min="12290" max="12538" width="6" style="203"/>
    <col min="12539" max="12539" width="11.81640625" style="203" customWidth="1"/>
    <col min="12540" max="12540" width="34.7265625" style="203" customWidth="1"/>
    <col min="12541" max="12541" width="39.54296875" style="203" customWidth="1"/>
    <col min="12542" max="12542" width="20.54296875" style="203" customWidth="1"/>
    <col min="12543" max="12543" width="11.1796875" style="203" customWidth="1"/>
    <col min="12544" max="12544" width="6" style="203"/>
    <col min="12545" max="12545" width="10.7265625" style="203" customWidth="1"/>
    <col min="12546" max="12794" width="6" style="203"/>
    <col min="12795" max="12795" width="11.81640625" style="203" customWidth="1"/>
    <col min="12796" max="12796" width="34.7265625" style="203" customWidth="1"/>
    <col min="12797" max="12797" width="39.54296875" style="203" customWidth="1"/>
    <col min="12798" max="12798" width="20.54296875" style="203" customWidth="1"/>
    <col min="12799" max="12799" width="11.1796875" style="203" customWidth="1"/>
    <col min="12800" max="12800" width="6" style="203"/>
    <col min="12801" max="12801" width="10.7265625" style="203" customWidth="1"/>
    <col min="12802" max="13050" width="6" style="203"/>
    <col min="13051" max="13051" width="11.81640625" style="203" customWidth="1"/>
    <col min="13052" max="13052" width="34.7265625" style="203" customWidth="1"/>
    <col min="13053" max="13053" width="39.54296875" style="203" customWidth="1"/>
    <col min="13054" max="13054" width="20.54296875" style="203" customWidth="1"/>
    <col min="13055" max="13055" width="11.1796875" style="203" customWidth="1"/>
    <col min="13056" max="13056" width="6" style="203"/>
    <col min="13057" max="13057" width="10.7265625" style="203" customWidth="1"/>
    <col min="13058" max="13306" width="6" style="203"/>
    <col min="13307" max="13307" width="11.81640625" style="203" customWidth="1"/>
    <col min="13308" max="13308" width="34.7265625" style="203" customWidth="1"/>
    <col min="13309" max="13309" width="39.54296875" style="203" customWidth="1"/>
    <col min="13310" max="13310" width="20.54296875" style="203" customWidth="1"/>
    <col min="13311" max="13311" width="11.1796875" style="203" customWidth="1"/>
    <col min="13312" max="13312" width="6" style="203"/>
    <col min="13313" max="13313" width="10.7265625" style="203" customWidth="1"/>
    <col min="13314" max="13562" width="6" style="203"/>
    <col min="13563" max="13563" width="11.81640625" style="203" customWidth="1"/>
    <col min="13564" max="13564" width="34.7265625" style="203" customWidth="1"/>
    <col min="13565" max="13565" width="39.54296875" style="203" customWidth="1"/>
    <col min="13566" max="13566" width="20.54296875" style="203" customWidth="1"/>
    <col min="13567" max="13567" width="11.1796875" style="203" customWidth="1"/>
    <col min="13568" max="13568" width="6" style="203"/>
    <col min="13569" max="13569" width="10.7265625" style="203" customWidth="1"/>
    <col min="13570" max="13818" width="6" style="203"/>
    <col min="13819" max="13819" width="11.81640625" style="203" customWidth="1"/>
    <col min="13820" max="13820" width="34.7265625" style="203" customWidth="1"/>
    <col min="13821" max="13821" width="39.54296875" style="203" customWidth="1"/>
    <col min="13822" max="13822" width="20.54296875" style="203" customWidth="1"/>
    <col min="13823" max="13823" width="11.1796875" style="203" customWidth="1"/>
    <col min="13824" max="13824" width="6" style="203"/>
    <col min="13825" max="13825" width="10.7265625" style="203" customWidth="1"/>
    <col min="13826" max="14074" width="6" style="203"/>
    <col min="14075" max="14075" width="11.81640625" style="203" customWidth="1"/>
    <col min="14076" max="14076" width="34.7265625" style="203" customWidth="1"/>
    <col min="14077" max="14077" width="39.54296875" style="203" customWidth="1"/>
    <col min="14078" max="14078" width="20.54296875" style="203" customWidth="1"/>
    <col min="14079" max="14079" width="11.1796875" style="203" customWidth="1"/>
    <col min="14080" max="14080" width="6" style="203"/>
    <col min="14081" max="14081" width="10.7265625" style="203" customWidth="1"/>
    <col min="14082" max="14330" width="6" style="203"/>
    <col min="14331" max="14331" width="11.81640625" style="203" customWidth="1"/>
    <col min="14332" max="14332" width="34.7265625" style="203" customWidth="1"/>
    <col min="14333" max="14333" width="39.54296875" style="203" customWidth="1"/>
    <col min="14334" max="14334" width="20.54296875" style="203" customWidth="1"/>
    <col min="14335" max="14335" width="11.1796875" style="203" customWidth="1"/>
    <col min="14336" max="14336" width="6" style="203"/>
    <col min="14337" max="14337" width="10.7265625" style="203" customWidth="1"/>
    <col min="14338" max="14586" width="6" style="203"/>
    <col min="14587" max="14587" width="11.81640625" style="203" customWidth="1"/>
    <col min="14588" max="14588" width="34.7265625" style="203" customWidth="1"/>
    <col min="14589" max="14589" width="39.54296875" style="203" customWidth="1"/>
    <col min="14590" max="14590" width="20.54296875" style="203" customWidth="1"/>
    <col min="14591" max="14591" width="11.1796875" style="203" customWidth="1"/>
    <col min="14592" max="14592" width="6" style="203"/>
    <col min="14593" max="14593" width="10.7265625" style="203" customWidth="1"/>
    <col min="14594" max="14842" width="6" style="203"/>
    <col min="14843" max="14843" width="11.81640625" style="203" customWidth="1"/>
    <col min="14844" max="14844" width="34.7265625" style="203" customWidth="1"/>
    <col min="14845" max="14845" width="39.54296875" style="203" customWidth="1"/>
    <col min="14846" max="14846" width="20.54296875" style="203" customWidth="1"/>
    <col min="14847" max="14847" width="11.1796875" style="203" customWidth="1"/>
    <col min="14848" max="14848" width="6" style="203"/>
    <col min="14849" max="14849" width="10.7265625" style="203" customWidth="1"/>
    <col min="14850" max="15098" width="6" style="203"/>
    <col min="15099" max="15099" width="11.81640625" style="203" customWidth="1"/>
    <col min="15100" max="15100" width="34.7265625" style="203" customWidth="1"/>
    <col min="15101" max="15101" width="39.54296875" style="203" customWidth="1"/>
    <col min="15102" max="15102" width="20.54296875" style="203" customWidth="1"/>
    <col min="15103" max="15103" width="11.1796875" style="203" customWidth="1"/>
    <col min="15104" max="15104" width="6" style="203"/>
    <col min="15105" max="15105" width="10.7265625" style="203" customWidth="1"/>
    <col min="15106" max="15354" width="6" style="203"/>
    <col min="15355" max="15355" width="11.81640625" style="203" customWidth="1"/>
    <col min="15356" max="15356" width="34.7265625" style="203" customWidth="1"/>
    <col min="15357" max="15357" width="39.54296875" style="203" customWidth="1"/>
    <col min="15358" max="15358" width="20.54296875" style="203" customWidth="1"/>
    <col min="15359" max="15359" width="11.1796875" style="203" customWidth="1"/>
    <col min="15360" max="15360" width="6" style="203"/>
    <col min="15361" max="15361" width="10.7265625" style="203" customWidth="1"/>
    <col min="15362" max="15610" width="6" style="203"/>
    <col min="15611" max="15611" width="11.81640625" style="203" customWidth="1"/>
    <col min="15612" max="15612" width="34.7265625" style="203" customWidth="1"/>
    <col min="15613" max="15613" width="39.54296875" style="203" customWidth="1"/>
    <col min="15614" max="15614" width="20.54296875" style="203" customWidth="1"/>
    <col min="15615" max="15615" width="11.1796875" style="203" customWidth="1"/>
    <col min="15616" max="15616" width="6" style="203"/>
    <col min="15617" max="15617" width="10.7265625" style="203" customWidth="1"/>
    <col min="15618" max="15866" width="6" style="203"/>
    <col min="15867" max="15867" width="11.81640625" style="203" customWidth="1"/>
    <col min="15868" max="15868" width="34.7265625" style="203" customWidth="1"/>
    <col min="15869" max="15869" width="39.54296875" style="203" customWidth="1"/>
    <col min="15870" max="15870" width="20.54296875" style="203" customWidth="1"/>
    <col min="15871" max="15871" width="11.1796875" style="203" customWidth="1"/>
    <col min="15872" max="15872" width="6" style="203"/>
    <col min="15873" max="15873" width="10.7265625" style="203" customWidth="1"/>
    <col min="15874" max="16122" width="6" style="203"/>
    <col min="16123" max="16123" width="11.81640625" style="203" customWidth="1"/>
    <col min="16124" max="16124" width="34.7265625" style="203" customWidth="1"/>
    <col min="16125" max="16125" width="39.54296875" style="203" customWidth="1"/>
    <col min="16126" max="16126" width="20.54296875" style="203" customWidth="1"/>
    <col min="16127" max="16127" width="11.1796875" style="203" customWidth="1"/>
    <col min="16128" max="16128" width="6" style="203"/>
    <col min="16129" max="16129" width="10.7265625" style="203" customWidth="1"/>
    <col min="16130" max="16384" width="6" style="203"/>
  </cols>
  <sheetData>
    <row r="1" spans="1:5" ht="18">
      <c r="A1" s="327" t="s">
        <v>107</v>
      </c>
      <c r="B1" s="328"/>
      <c r="C1" s="328"/>
      <c r="D1" s="272"/>
    </row>
    <row r="2" spans="1:5" ht="14.5" customHeight="1">
      <c r="A2" s="273"/>
      <c r="D2" s="274"/>
    </row>
    <row r="3" spans="1:5" ht="13">
      <c r="A3" s="214"/>
      <c r="B3" s="329" t="s">
        <v>3</v>
      </c>
      <c r="C3" s="329"/>
      <c r="D3" s="215" t="s">
        <v>29</v>
      </c>
    </row>
    <row r="4" spans="1:5" ht="14.5" customHeight="1">
      <c r="A4" s="214">
        <v>1</v>
      </c>
      <c r="B4" s="330" t="s">
        <v>0</v>
      </c>
      <c r="C4" s="331"/>
      <c r="D4" s="215" t="s">
        <v>108</v>
      </c>
    </row>
    <row r="5" spans="1:5" s="207" customFormat="1">
      <c r="A5" s="216">
        <v>1.1000000000000001</v>
      </c>
      <c r="B5" s="324" t="s">
        <v>114</v>
      </c>
      <c r="C5" s="324"/>
      <c r="D5" s="275">
        <f>'P&amp;G''s'!F24</f>
        <v>0</v>
      </c>
      <c r="E5" s="206"/>
    </row>
    <row r="6" spans="1:5" s="207" customFormat="1">
      <c r="A6" s="216">
        <v>1.2</v>
      </c>
      <c r="B6" s="324" t="s">
        <v>109</v>
      </c>
      <c r="C6" s="324"/>
      <c r="D6" s="275">
        <f>'BOQ (3)'!F151</f>
        <v>0</v>
      </c>
      <c r="E6" s="206"/>
    </row>
    <row r="7" spans="1:5" s="207" customFormat="1">
      <c r="A7" s="216">
        <v>1.3</v>
      </c>
      <c r="B7" s="332" t="s">
        <v>111</v>
      </c>
      <c r="C7" s="333"/>
      <c r="D7" s="275">
        <f>'BOQ (3)'!F170</f>
        <v>0</v>
      </c>
      <c r="E7" s="206"/>
    </row>
    <row r="8" spans="1:5" s="209" customFormat="1" ht="14.5" customHeight="1">
      <c r="A8" s="276"/>
      <c r="B8" s="325" t="s">
        <v>110</v>
      </c>
      <c r="C8" s="326"/>
      <c r="D8" s="277">
        <f>SUM(D5:D7)</f>
        <v>0</v>
      </c>
      <c r="E8" s="208"/>
    </row>
    <row r="9" spans="1:5">
      <c r="A9" s="273"/>
      <c r="D9" s="274"/>
    </row>
    <row r="10" spans="1:5" ht="27" customHeight="1">
      <c r="A10" s="276">
        <v>2</v>
      </c>
      <c r="B10" s="334" t="s">
        <v>118</v>
      </c>
      <c r="C10" s="334"/>
      <c r="D10" s="215" t="s">
        <v>108</v>
      </c>
    </row>
    <row r="11" spans="1:5">
      <c r="A11" s="216">
        <v>2.1</v>
      </c>
      <c r="B11" s="324" t="s">
        <v>114</v>
      </c>
      <c r="C11" s="324"/>
      <c r="D11" s="275">
        <f>'P&amp;G''s'!F53</f>
        <v>0</v>
      </c>
    </row>
    <row r="12" spans="1:5">
      <c r="A12" s="216">
        <v>2.2000000000000002</v>
      </c>
      <c r="B12" s="324" t="s">
        <v>217</v>
      </c>
      <c r="C12" s="324"/>
      <c r="D12" s="275">
        <f>'BOQ (3)'!F308</f>
        <v>0</v>
      </c>
    </row>
    <row r="13" spans="1:5">
      <c r="A13" s="216">
        <v>2.2999999999999998</v>
      </c>
      <c r="B13" s="324" t="s">
        <v>218</v>
      </c>
      <c r="C13" s="324"/>
      <c r="D13" s="275">
        <f>'BOQ (3)'!F332</f>
        <v>0</v>
      </c>
    </row>
    <row r="14" spans="1:5">
      <c r="A14" s="216">
        <v>2.4</v>
      </c>
      <c r="B14" s="324" t="s">
        <v>219</v>
      </c>
      <c r="C14" s="324"/>
      <c r="D14" s="275">
        <f>'BOQ (3)'!F343</f>
        <v>0</v>
      </c>
    </row>
    <row r="15" spans="1:5">
      <c r="A15" s="216">
        <v>2.5</v>
      </c>
      <c r="B15" s="324" t="s">
        <v>205</v>
      </c>
      <c r="C15" s="324"/>
      <c r="D15" s="275">
        <f>'BOQ (3)'!F356</f>
        <v>0</v>
      </c>
    </row>
    <row r="16" spans="1:5" s="210" customFormat="1" ht="13">
      <c r="A16" s="276"/>
      <c r="B16" s="325" t="s">
        <v>110</v>
      </c>
      <c r="C16" s="326"/>
      <c r="D16" s="277">
        <f>SUM(D11:D15)</f>
        <v>0</v>
      </c>
    </row>
    <row r="17" spans="1:4">
      <c r="A17" s="273"/>
      <c r="D17" s="274"/>
    </row>
    <row r="18" spans="1:4" ht="16" customHeight="1">
      <c r="A18" s="276">
        <v>3</v>
      </c>
      <c r="B18" s="322" t="s">
        <v>222</v>
      </c>
      <c r="C18" s="323"/>
      <c r="D18" s="215"/>
    </row>
    <row r="19" spans="1:4">
      <c r="A19" s="216">
        <v>3.1</v>
      </c>
      <c r="B19" s="324" t="s">
        <v>114</v>
      </c>
      <c r="C19" s="324"/>
      <c r="D19" s="275">
        <f>'P&amp;G''s'!F88</f>
        <v>0</v>
      </c>
    </row>
    <row r="20" spans="1:4">
      <c r="A20" s="216">
        <f>A19+0.1</f>
        <v>3.2</v>
      </c>
      <c r="B20" s="332" t="s">
        <v>252</v>
      </c>
      <c r="C20" s="333"/>
      <c r="D20" s="275">
        <f>'BOQ (3)'!F440</f>
        <v>0</v>
      </c>
    </row>
    <row r="21" spans="1:4">
      <c r="A21" s="216">
        <f t="shared" ref="A21:A27" si="0">A20+0.1</f>
        <v>3.3000000000000003</v>
      </c>
      <c r="B21" s="332" t="s">
        <v>255</v>
      </c>
      <c r="C21" s="333"/>
      <c r="D21" s="275">
        <f>'BOQ (3)'!F478</f>
        <v>0</v>
      </c>
    </row>
    <row r="22" spans="1:4">
      <c r="A22" s="216">
        <f t="shared" si="0"/>
        <v>3.4000000000000004</v>
      </c>
      <c r="B22" s="332" t="s">
        <v>270</v>
      </c>
      <c r="C22" s="333"/>
      <c r="D22" s="275">
        <f>'BOQ (3)'!F518</f>
        <v>0</v>
      </c>
    </row>
    <row r="23" spans="1:4">
      <c r="A23" s="216">
        <f t="shared" si="0"/>
        <v>3.5000000000000004</v>
      </c>
      <c r="B23" s="332" t="s">
        <v>278</v>
      </c>
      <c r="C23" s="333"/>
      <c r="D23" s="275">
        <f>'BOQ (3)'!F544</f>
        <v>0</v>
      </c>
    </row>
    <row r="24" spans="1:4">
      <c r="A24" s="216">
        <f t="shared" si="0"/>
        <v>3.6000000000000005</v>
      </c>
      <c r="B24" s="335" t="s">
        <v>283</v>
      </c>
      <c r="C24" s="336"/>
      <c r="D24" s="278">
        <f>'BOQ (3)'!F558</f>
        <v>0</v>
      </c>
    </row>
    <row r="25" spans="1:4">
      <c r="A25" s="216">
        <f t="shared" si="0"/>
        <v>3.7000000000000006</v>
      </c>
      <c r="B25" s="335" t="s">
        <v>287</v>
      </c>
      <c r="C25" s="336"/>
      <c r="D25" s="278">
        <f>'BOQ (3)'!F558</f>
        <v>0</v>
      </c>
    </row>
    <row r="26" spans="1:4">
      <c r="A26" s="216">
        <f t="shared" si="0"/>
        <v>3.8000000000000007</v>
      </c>
      <c r="B26" s="335" t="s">
        <v>289</v>
      </c>
      <c r="C26" s="336"/>
      <c r="D26" s="278">
        <f>'BOQ (3)'!F578</f>
        <v>0</v>
      </c>
    </row>
    <row r="27" spans="1:4">
      <c r="A27" s="216">
        <f t="shared" si="0"/>
        <v>3.9000000000000008</v>
      </c>
      <c r="B27" s="335" t="s">
        <v>290</v>
      </c>
      <c r="C27" s="336"/>
      <c r="D27" s="278">
        <f>'BOQ (3)'!F602</f>
        <v>0</v>
      </c>
    </row>
    <row r="28" spans="1:4">
      <c r="A28" s="279">
        <v>3.1</v>
      </c>
      <c r="B28" s="335" t="s">
        <v>293</v>
      </c>
      <c r="C28" s="336"/>
      <c r="D28" s="278">
        <f>'BOQ (3)'!F614</f>
        <v>0</v>
      </c>
    </row>
    <row r="29" spans="1:4">
      <c r="A29" s="279">
        <f>A28+0.01</f>
        <v>3.11</v>
      </c>
      <c r="B29" s="335" t="s">
        <v>296</v>
      </c>
      <c r="C29" s="336"/>
      <c r="D29" s="278">
        <f>'BOQ (3)'!F623</f>
        <v>0</v>
      </c>
    </row>
    <row r="30" spans="1:4">
      <c r="A30" s="279">
        <f t="shared" ref="A30:A37" si="1">A29+0.01</f>
        <v>3.1199999999999997</v>
      </c>
      <c r="B30" s="335" t="s">
        <v>297</v>
      </c>
      <c r="C30" s="336"/>
      <c r="D30" s="278">
        <f>'BOQ (3)'!F632</f>
        <v>0</v>
      </c>
    </row>
    <row r="31" spans="1:4">
      <c r="A31" s="279">
        <f t="shared" si="1"/>
        <v>3.1299999999999994</v>
      </c>
      <c r="B31" s="335" t="s">
        <v>298</v>
      </c>
      <c r="C31" s="336"/>
      <c r="D31" s="278">
        <f>'BOQ (3)'!F640</f>
        <v>0</v>
      </c>
    </row>
    <row r="32" spans="1:4">
      <c r="A32" s="279">
        <f t="shared" si="1"/>
        <v>3.1399999999999992</v>
      </c>
      <c r="B32" s="335" t="s">
        <v>299</v>
      </c>
      <c r="C32" s="336"/>
      <c r="D32" s="278">
        <f>'BOQ (3)'!F686</f>
        <v>0</v>
      </c>
    </row>
    <row r="33" spans="1:4">
      <c r="A33" s="279">
        <f t="shared" si="1"/>
        <v>3.149999999999999</v>
      </c>
      <c r="B33" s="335" t="s">
        <v>316</v>
      </c>
      <c r="C33" s="336"/>
      <c r="D33" s="278">
        <f>'BOQ (3)'!F699</f>
        <v>0</v>
      </c>
    </row>
    <row r="34" spans="1:4">
      <c r="A34" s="279">
        <f t="shared" si="1"/>
        <v>3.1599999999999988</v>
      </c>
      <c r="B34" s="335" t="s">
        <v>320</v>
      </c>
      <c r="C34" s="336"/>
      <c r="D34" s="278">
        <f>'BOQ (3)'!F708</f>
        <v>0</v>
      </c>
    </row>
    <row r="35" spans="1:4">
      <c r="A35" s="279">
        <f t="shared" si="1"/>
        <v>3.1699999999999986</v>
      </c>
      <c r="B35" s="335" t="s">
        <v>321</v>
      </c>
      <c r="C35" s="336"/>
      <c r="D35" s="278">
        <f>'BOQ (3)'!F723</f>
        <v>0</v>
      </c>
    </row>
    <row r="36" spans="1:4">
      <c r="A36" s="279">
        <f t="shared" si="1"/>
        <v>3.1799999999999984</v>
      </c>
      <c r="B36" s="335" t="s">
        <v>324</v>
      </c>
      <c r="C36" s="336"/>
      <c r="D36" s="278">
        <f>'BOQ (3)'!F742</f>
        <v>0</v>
      </c>
    </row>
    <row r="37" spans="1:4">
      <c r="A37" s="279">
        <f t="shared" si="1"/>
        <v>3.1899999999999982</v>
      </c>
      <c r="B37" s="335" t="s">
        <v>326</v>
      </c>
      <c r="C37" s="336"/>
      <c r="D37" s="278">
        <f>'BOQ (3)'!F758</f>
        <v>0</v>
      </c>
    </row>
    <row r="38" spans="1:4">
      <c r="A38" s="280">
        <v>3.2</v>
      </c>
      <c r="B38" s="335" t="s">
        <v>327</v>
      </c>
      <c r="C38" s="336"/>
      <c r="D38" s="278">
        <f>'BOQ (3)'!F772</f>
        <v>0</v>
      </c>
    </row>
    <row r="39" spans="1:4">
      <c r="A39" s="281">
        <v>3.21</v>
      </c>
      <c r="B39" s="335" t="s">
        <v>328</v>
      </c>
      <c r="C39" s="336"/>
      <c r="D39" s="278">
        <f>'BOQ (3)'!F787</f>
        <v>0</v>
      </c>
    </row>
    <row r="40" spans="1:4">
      <c r="A40" s="281">
        <v>3.22</v>
      </c>
      <c r="B40" s="335" t="s">
        <v>329</v>
      </c>
      <c r="C40" s="336"/>
      <c r="D40" s="278">
        <f>'BOQ (3)'!F797</f>
        <v>0</v>
      </c>
    </row>
    <row r="41" spans="1:4">
      <c r="A41" s="281" t="s">
        <v>338</v>
      </c>
      <c r="B41" s="335" t="s">
        <v>332</v>
      </c>
      <c r="C41" s="336"/>
      <c r="D41" s="278">
        <f>'BOQ (3)'!F813</f>
        <v>0</v>
      </c>
    </row>
    <row r="42" spans="1:4" ht="13">
      <c r="A42" s="276"/>
      <c r="B42" s="325" t="s">
        <v>110</v>
      </c>
      <c r="C42" s="326"/>
      <c r="D42" s="277">
        <f>SUM(D37:D41)</f>
        <v>0</v>
      </c>
    </row>
    <row r="43" spans="1:4" ht="13" thickBot="1">
      <c r="A43" s="282"/>
      <c r="B43" s="283"/>
      <c r="C43" s="284"/>
      <c r="D43" s="285"/>
    </row>
  </sheetData>
  <sheetProtection selectLockedCells="1" selectUnlockedCells="1"/>
  <mergeCells count="39">
    <mergeCell ref="B40:C40"/>
    <mergeCell ref="B41:C41"/>
    <mergeCell ref="B42:C42"/>
    <mergeCell ref="B35:C35"/>
    <mergeCell ref="B36:C36"/>
    <mergeCell ref="B37:C37"/>
    <mergeCell ref="B38:C38"/>
    <mergeCell ref="B39:C39"/>
    <mergeCell ref="B30:C30"/>
    <mergeCell ref="B31:C31"/>
    <mergeCell ref="B32:C32"/>
    <mergeCell ref="B33:C33"/>
    <mergeCell ref="B34:C34"/>
    <mergeCell ref="B25:C25"/>
    <mergeCell ref="B26:C26"/>
    <mergeCell ref="B27:C27"/>
    <mergeCell ref="B28:C28"/>
    <mergeCell ref="B29:C29"/>
    <mergeCell ref="B23:C23"/>
    <mergeCell ref="B24:C24"/>
    <mergeCell ref="B20:C20"/>
    <mergeCell ref="B21:C21"/>
    <mergeCell ref="B22:C22"/>
    <mergeCell ref="B18:C18"/>
    <mergeCell ref="B19:C19"/>
    <mergeCell ref="B16:C16"/>
    <mergeCell ref="A1:C1"/>
    <mergeCell ref="B3:C3"/>
    <mergeCell ref="B5:C5"/>
    <mergeCell ref="B6:C6"/>
    <mergeCell ref="B8:C8"/>
    <mergeCell ref="B4:C4"/>
    <mergeCell ref="B7:C7"/>
    <mergeCell ref="B11:C11"/>
    <mergeCell ref="B12:C12"/>
    <mergeCell ref="B13:C13"/>
    <mergeCell ref="B15:C15"/>
    <mergeCell ref="B10:C10"/>
    <mergeCell ref="B14:C14"/>
  </mergeCells>
  <pageMargins left="0.7" right="0.7" top="0.75" bottom="0.75" header="0.3" footer="0.3"/>
  <pageSetup scale="8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6BD9A-5A9A-4FC8-BC58-C32A64A8E131}">
  <dimension ref="A1:E16"/>
  <sheetViews>
    <sheetView workbookViewId="0">
      <selection sqref="A1:D16"/>
    </sheetView>
  </sheetViews>
  <sheetFormatPr defaultColWidth="6" defaultRowHeight="12.5"/>
  <cols>
    <col min="1" max="1" width="11.81640625" style="211" customWidth="1"/>
    <col min="2" max="2" width="34.7265625" style="204" customWidth="1"/>
    <col min="3" max="3" width="39.54296875" style="205" customWidth="1"/>
    <col min="4" max="4" width="20.54296875" style="212" customWidth="1"/>
    <col min="5" max="5" width="11.1796875" style="203" customWidth="1"/>
    <col min="6" max="250" width="6" style="203"/>
    <col min="251" max="251" width="11.81640625" style="203" customWidth="1"/>
    <col min="252" max="252" width="34.7265625" style="203" customWidth="1"/>
    <col min="253" max="253" width="39.54296875" style="203" customWidth="1"/>
    <col min="254" max="254" width="20.54296875" style="203" customWidth="1"/>
    <col min="255" max="255" width="11.1796875" style="203" customWidth="1"/>
    <col min="256" max="256" width="6" style="203"/>
    <col min="257" max="257" width="10.7265625" style="203" customWidth="1"/>
    <col min="258" max="506" width="6" style="203"/>
    <col min="507" max="507" width="11.81640625" style="203" customWidth="1"/>
    <col min="508" max="508" width="34.7265625" style="203" customWidth="1"/>
    <col min="509" max="509" width="39.54296875" style="203" customWidth="1"/>
    <col min="510" max="510" width="20.54296875" style="203" customWidth="1"/>
    <col min="511" max="511" width="11.1796875" style="203" customWidth="1"/>
    <col min="512" max="512" width="6" style="203"/>
    <col min="513" max="513" width="10.7265625" style="203" customWidth="1"/>
    <col min="514" max="762" width="6" style="203"/>
    <col min="763" max="763" width="11.81640625" style="203" customWidth="1"/>
    <col min="764" max="764" width="34.7265625" style="203" customWidth="1"/>
    <col min="765" max="765" width="39.54296875" style="203" customWidth="1"/>
    <col min="766" max="766" width="20.54296875" style="203" customWidth="1"/>
    <col min="767" max="767" width="11.1796875" style="203" customWidth="1"/>
    <col min="768" max="768" width="6" style="203"/>
    <col min="769" max="769" width="10.7265625" style="203" customWidth="1"/>
    <col min="770" max="1018" width="6" style="203"/>
    <col min="1019" max="1019" width="11.81640625" style="203" customWidth="1"/>
    <col min="1020" max="1020" width="34.7265625" style="203" customWidth="1"/>
    <col min="1021" max="1021" width="39.54296875" style="203" customWidth="1"/>
    <col min="1022" max="1022" width="20.54296875" style="203" customWidth="1"/>
    <col min="1023" max="1023" width="11.1796875" style="203" customWidth="1"/>
    <col min="1024" max="1024" width="6" style="203"/>
    <col min="1025" max="1025" width="10.7265625" style="203" customWidth="1"/>
    <col min="1026" max="1274" width="6" style="203"/>
    <col min="1275" max="1275" width="11.81640625" style="203" customWidth="1"/>
    <col min="1276" max="1276" width="34.7265625" style="203" customWidth="1"/>
    <col min="1277" max="1277" width="39.54296875" style="203" customWidth="1"/>
    <col min="1278" max="1278" width="20.54296875" style="203" customWidth="1"/>
    <col min="1279" max="1279" width="11.1796875" style="203" customWidth="1"/>
    <col min="1280" max="1280" width="6" style="203"/>
    <col min="1281" max="1281" width="10.7265625" style="203" customWidth="1"/>
    <col min="1282" max="1530" width="6" style="203"/>
    <col min="1531" max="1531" width="11.81640625" style="203" customWidth="1"/>
    <col min="1532" max="1532" width="34.7265625" style="203" customWidth="1"/>
    <col min="1533" max="1533" width="39.54296875" style="203" customWidth="1"/>
    <col min="1534" max="1534" width="20.54296875" style="203" customWidth="1"/>
    <col min="1535" max="1535" width="11.1796875" style="203" customWidth="1"/>
    <col min="1536" max="1536" width="6" style="203"/>
    <col min="1537" max="1537" width="10.7265625" style="203" customWidth="1"/>
    <col min="1538" max="1786" width="6" style="203"/>
    <col min="1787" max="1787" width="11.81640625" style="203" customWidth="1"/>
    <col min="1788" max="1788" width="34.7265625" style="203" customWidth="1"/>
    <col min="1789" max="1789" width="39.54296875" style="203" customWidth="1"/>
    <col min="1790" max="1790" width="20.54296875" style="203" customWidth="1"/>
    <col min="1791" max="1791" width="11.1796875" style="203" customWidth="1"/>
    <col min="1792" max="1792" width="6" style="203"/>
    <col min="1793" max="1793" width="10.7265625" style="203" customWidth="1"/>
    <col min="1794" max="2042" width="6" style="203"/>
    <col min="2043" max="2043" width="11.81640625" style="203" customWidth="1"/>
    <col min="2044" max="2044" width="34.7265625" style="203" customWidth="1"/>
    <col min="2045" max="2045" width="39.54296875" style="203" customWidth="1"/>
    <col min="2046" max="2046" width="20.54296875" style="203" customWidth="1"/>
    <col min="2047" max="2047" width="11.1796875" style="203" customWidth="1"/>
    <col min="2048" max="2048" width="6" style="203"/>
    <col min="2049" max="2049" width="10.7265625" style="203" customWidth="1"/>
    <col min="2050" max="2298" width="6" style="203"/>
    <col min="2299" max="2299" width="11.81640625" style="203" customWidth="1"/>
    <col min="2300" max="2300" width="34.7265625" style="203" customWidth="1"/>
    <col min="2301" max="2301" width="39.54296875" style="203" customWidth="1"/>
    <col min="2302" max="2302" width="20.54296875" style="203" customWidth="1"/>
    <col min="2303" max="2303" width="11.1796875" style="203" customWidth="1"/>
    <col min="2304" max="2304" width="6" style="203"/>
    <col min="2305" max="2305" width="10.7265625" style="203" customWidth="1"/>
    <col min="2306" max="2554" width="6" style="203"/>
    <col min="2555" max="2555" width="11.81640625" style="203" customWidth="1"/>
    <col min="2556" max="2556" width="34.7265625" style="203" customWidth="1"/>
    <col min="2557" max="2557" width="39.54296875" style="203" customWidth="1"/>
    <col min="2558" max="2558" width="20.54296875" style="203" customWidth="1"/>
    <col min="2559" max="2559" width="11.1796875" style="203" customWidth="1"/>
    <col min="2560" max="2560" width="6" style="203"/>
    <col min="2561" max="2561" width="10.7265625" style="203" customWidth="1"/>
    <col min="2562" max="2810" width="6" style="203"/>
    <col min="2811" max="2811" width="11.81640625" style="203" customWidth="1"/>
    <col min="2812" max="2812" width="34.7265625" style="203" customWidth="1"/>
    <col min="2813" max="2813" width="39.54296875" style="203" customWidth="1"/>
    <col min="2814" max="2814" width="20.54296875" style="203" customWidth="1"/>
    <col min="2815" max="2815" width="11.1796875" style="203" customWidth="1"/>
    <col min="2816" max="2816" width="6" style="203"/>
    <col min="2817" max="2817" width="10.7265625" style="203" customWidth="1"/>
    <col min="2818" max="3066" width="6" style="203"/>
    <col min="3067" max="3067" width="11.81640625" style="203" customWidth="1"/>
    <col min="3068" max="3068" width="34.7265625" style="203" customWidth="1"/>
    <col min="3069" max="3069" width="39.54296875" style="203" customWidth="1"/>
    <col min="3070" max="3070" width="20.54296875" style="203" customWidth="1"/>
    <col min="3071" max="3071" width="11.1796875" style="203" customWidth="1"/>
    <col min="3072" max="3072" width="6" style="203"/>
    <col min="3073" max="3073" width="10.7265625" style="203" customWidth="1"/>
    <col min="3074" max="3322" width="6" style="203"/>
    <col min="3323" max="3323" width="11.81640625" style="203" customWidth="1"/>
    <col min="3324" max="3324" width="34.7265625" style="203" customWidth="1"/>
    <col min="3325" max="3325" width="39.54296875" style="203" customWidth="1"/>
    <col min="3326" max="3326" width="20.54296875" style="203" customWidth="1"/>
    <col min="3327" max="3327" width="11.1796875" style="203" customWidth="1"/>
    <col min="3328" max="3328" width="6" style="203"/>
    <col min="3329" max="3329" width="10.7265625" style="203" customWidth="1"/>
    <col min="3330" max="3578" width="6" style="203"/>
    <col min="3579" max="3579" width="11.81640625" style="203" customWidth="1"/>
    <col min="3580" max="3580" width="34.7265625" style="203" customWidth="1"/>
    <col min="3581" max="3581" width="39.54296875" style="203" customWidth="1"/>
    <col min="3582" max="3582" width="20.54296875" style="203" customWidth="1"/>
    <col min="3583" max="3583" width="11.1796875" style="203" customWidth="1"/>
    <col min="3584" max="3584" width="6" style="203"/>
    <col min="3585" max="3585" width="10.7265625" style="203" customWidth="1"/>
    <col min="3586" max="3834" width="6" style="203"/>
    <col min="3835" max="3835" width="11.81640625" style="203" customWidth="1"/>
    <col min="3836" max="3836" width="34.7265625" style="203" customWidth="1"/>
    <col min="3837" max="3837" width="39.54296875" style="203" customWidth="1"/>
    <col min="3838" max="3838" width="20.54296875" style="203" customWidth="1"/>
    <col min="3839" max="3839" width="11.1796875" style="203" customWidth="1"/>
    <col min="3840" max="3840" width="6" style="203"/>
    <col min="3841" max="3841" width="10.7265625" style="203" customWidth="1"/>
    <col min="3842" max="4090" width="6" style="203"/>
    <col min="4091" max="4091" width="11.81640625" style="203" customWidth="1"/>
    <col min="4092" max="4092" width="34.7265625" style="203" customWidth="1"/>
    <col min="4093" max="4093" width="39.54296875" style="203" customWidth="1"/>
    <col min="4094" max="4094" width="20.54296875" style="203" customWidth="1"/>
    <col min="4095" max="4095" width="11.1796875" style="203" customWidth="1"/>
    <col min="4096" max="4096" width="6" style="203"/>
    <col min="4097" max="4097" width="10.7265625" style="203" customWidth="1"/>
    <col min="4098" max="4346" width="6" style="203"/>
    <col min="4347" max="4347" width="11.81640625" style="203" customWidth="1"/>
    <col min="4348" max="4348" width="34.7265625" style="203" customWidth="1"/>
    <col min="4349" max="4349" width="39.54296875" style="203" customWidth="1"/>
    <col min="4350" max="4350" width="20.54296875" style="203" customWidth="1"/>
    <col min="4351" max="4351" width="11.1796875" style="203" customWidth="1"/>
    <col min="4352" max="4352" width="6" style="203"/>
    <col min="4353" max="4353" width="10.7265625" style="203" customWidth="1"/>
    <col min="4354" max="4602" width="6" style="203"/>
    <col min="4603" max="4603" width="11.81640625" style="203" customWidth="1"/>
    <col min="4604" max="4604" width="34.7265625" style="203" customWidth="1"/>
    <col min="4605" max="4605" width="39.54296875" style="203" customWidth="1"/>
    <col min="4606" max="4606" width="20.54296875" style="203" customWidth="1"/>
    <col min="4607" max="4607" width="11.1796875" style="203" customWidth="1"/>
    <col min="4608" max="4608" width="6" style="203"/>
    <col min="4609" max="4609" width="10.7265625" style="203" customWidth="1"/>
    <col min="4610" max="4858" width="6" style="203"/>
    <col min="4859" max="4859" width="11.81640625" style="203" customWidth="1"/>
    <col min="4860" max="4860" width="34.7265625" style="203" customWidth="1"/>
    <col min="4861" max="4861" width="39.54296875" style="203" customWidth="1"/>
    <col min="4862" max="4862" width="20.54296875" style="203" customWidth="1"/>
    <col min="4863" max="4863" width="11.1796875" style="203" customWidth="1"/>
    <col min="4864" max="4864" width="6" style="203"/>
    <col min="4865" max="4865" width="10.7265625" style="203" customWidth="1"/>
    <col min="4866" max="5114" width="6" style="203"/>
    <col min="5115" max="5115" width="11.81640625" style="203" customWidth="1"/>
    <col min="5116" max="5116" width="34.7265625" style="203" customWidth="1"/>
    <col min="5117" max="5117" width="39.54296875" style="203" customWidth="1"/>
    <col min="5118" max="5118" width="20.54296875" style="203" customWidth="1"/>
    <col min="5119" max="5119" width="11.1796875" style="203" customWidth="1"/>
    <col min="5120" max="5120" width="6" style="203"/>
    <col min="5121" max="5121" width="10.7265625" style="203" customWidth="1"/>
    <col min="5122" max="5370" width="6" style="203"/>
    <col min="5371" max="5371" width="11.81640625" style="203" customWidth="1"/>
    <col min="5372" max="5372" width="34.7265625" style="203" customWidth="1"/>
    <col min="5373" max="5373" width="39.54296875" style="203" customWidth="1"/>
    <col min="5374" max="5374" width="20.54296875" style="203" customWidth="1"/>
    <col min="5375" max="5375" width="11.1796875" style="203" customWidth="1"/>
    <col min="5376" max="5376" width="6" style="203"/>
    <col min="5377" max="5377" width="10.7265625" style="203" customWidth="1"/>
    <col min="5378" max="5626" width="6" style="203"/>
    <col min="5627" max="5627" width="11.81640625" style="203" customWidth="1"/>
    <col min="5628" max="5628" width="34.7265625" style="203" customWidth="1"/>
    <col min="5629" max="5629" width="39.54296875" style="203" customWidth="1"/>
    <col min="5630" max="5630" width="20.54296875" style="203" customWidth="1"/>
    <col min="5631" max="5631" width="11.1796875" style="203" customWidth="1"/>
    <col min="5632" max="5632" width="6" style="203"/>
    <col min="5633" max="5633" width="10.7265625" style="203" customWidth="1"/>
    <col min="5634" max="5882" width="6" style="203"/>
    <col min="5883" max="5883" width="11.81640625" style="203" customWidth="1"/>
    <col min="5884" max="5884" width="34.7265625" style="203" customWidth="1"/>
    <col min="5885" max="5885" width="39.54296875" style="203" customWidth="1"/>
    <col min="5886" max="5886" width="20.54296875" style="203" customWidth="1"/>
    <col min="5887" max="5887" width="11.1796875" style="203" customWidth="1"/>
    <col min="5888" max="5888" width="6" style="203"/>
    <col min="5889" max="5889" width="10.7265625" style="203" customWidth="1"/>
    <col min="5890" max="6138" width="6" style="203"/>
    <col min="6139" max="6139" width="11.81640625" style="203" customWidth="1"/>
    <col min="6140" max="6140" width="34.7265625" style="203" customWidth="1"/>
    <col min="6141" max="6141" width="39.54296875" style="203" customWidth="1"/>
    <col min="6142" max="6142" width="20.54296875" style="203" customWidth="1"/>
    <col min="6143" max="6143" width="11.1796875" style="203" customWidth="1"/>
    <col min="6144" max="6144" width="6" style="203"/>
    <col min="6145" max="6145" width="10.7265625" style="203" customWidth="1"/>
    <col min="6146" max="6394" width="6" style="203"/>
    <col min="6395" max="6395" width="11.81640625" style="203" customWidth="1"/>
    <col min="6396" max="6396" width="34.7265625" style="203" customWidth="1"/>
    <col min="6397" max="6397" width="39.54296875" style="203" customWidth="1"/>
    <col min="6398" max="6398" width="20.54296875" style="203" customWidth="1"/>
    <col min="6399" max="6399" width="11.1796875" style="203" customWidth="1"/>
    <col min="6400" max="6400" width="6" style="203"/>
    <col min="6401" max="6401" width="10.7265625" style="203" customWidth="1"/>
    <col min="6402" max="6650" width="6" style="203"/>
    <col min="6651" max="6651" width="11.81640625" style="203" customWidth="1"/>
    <col min="6652" max="6652" width="34.7265625" style="203" customWidth="1"/>
    <col min="6653" max="6653" width="39.54296875" style="203" customWidth="1"/>
    <col min="6654" max="6654" width="20.54296875" style="203" customWidth="1"/>
    <col min="6655" max="6655" width="11.1796875" style="203" customWidth="1"/>
    <col min="6656" max="6656" width="6" style="203"/>
    <col min="6657" max="6657" width="10.7265625" style="203" customWidth="1"/>
    <col min="6658" max="6906" width="6" style="203"/>
    <col min="6907" max="6907" width="11.81640625" style="203" customWidth="1"/>
    <col min="6908" max="6908" width="34.7265625" style="203" customWidth="1"/>
    <col min="6909" max="6909" width="39.54296875" style="203" customWidth="1"/>
    <col min="6910" max="6910" width="20.54296875" style="203" customWidth="1"/>
    <col min="6911" max="6911" width="11.1796875" style="203" customWidth="1"/>
    <col min="6912" max="6912" width="6" style="203"/>
    <col min="6913" max="6913" width="10.7265625" style="203" customWidth="1"/>
    <col min="6914" max="7162" width="6" style="203"/>
    <col min="7163" max="7163" width="11.81640625" style="203" customWidth="1"/>
    <col min="7164" max="7164" width="34.7265625" style="203" customWidth="1"/>
    <col min="7165" max="7165" width="39.54296875" style="203" customWidth="1"/>
    <col min="7166" max="7166" width="20.54296875" style="203" customWidth="1"/>
    <col min="7167" max="7167" width="11.1796875" style="203" customWidth="1"/>
    <col min="7168" max="7168" width="6" style="203"/>
    <col min="7169" max="7169" width="10.7265625" style="203" customWidth="1"/>
    <col min="7170" max="7418" width="6" style="203"/>
    <col min="7419" max="7419" width="11.81640625" style="203" customWidth="1"/>
    <col min="7420" max="7420" width="34.7265625" style="203" customWidth="1"/>
    <col min="7421" max="7421" width="39.54296875" style="203" customWidth="1"/>
    <col min="7422" max="7422" width="20.54296875" style="203" customWidth="1"/>
    <col min="7423" max="7423" width="11.1796875" style="203" customWidth="1"/>
    <col min="7424" max="7424" width="6" style="203"/>
    <col min="7425" max="7425" width="10.7265625" style="203" customWidth="1"/>
    <col min="7426" max="7674" width="6" style="203"/>
    <col min="7675" max="7675" width="11.81640625" style="203" customWidth="1"/>
    <col min="7676" max="7676" width="34.7265625" style="203" customWidth="1"/>
    <col min="7677" max="7677" width="39.54296875" style="203" customWidth="1"/>
    <col min="7678" max="7678" width="20.54296875" style="203" customWidth="1"/>
    <col min="7679" max="7679" width="11.1796875" style="203" customWidth="1"/>
    <col min="7680" max="7680" width="6" style="203"/>
    <col min="7681" max="7681" width="10.7265625" style="203" customWidth="1"/>
    <col min="7682" max="7930" width="6" style="203"/>
    <col min="7931" max="7931" width="11.81640625" style="203" customWidth="1"/>
    <col min="7932" max="7932" width="34.7265625" style="203" customWidth="1"/>
    <col min="7933" max="7933" width="39.54296875" style="203" customWidth="1"/>
    <col min="7934" max="7934" width="20.54296875" style="203" customWidth="1"/>
    <col min="7935" max="7935" width="11.1796875" style="203" customWidth="1"/>
    <col min="7936" max="7936" width="6" style="203"/>
    <col min="7937" max="7937" width="10.7265625" style="203" customWidth="1"/>
    <col min="7938" max="8186" width="6" style="203"/>
    <col min="8187" max="8187" width="11.81640625" style="203" customWidth="1"/>
    <col min="8188" max="8188" width="34.7265625" style="203" customWidth="1"/>
    <col min="8189" max="8189" width="39.54296875" style="203" customWidth="1"/>
    <col min="8190" max="8190" width="20.54296875" style="203" customWidth="1"/>
    <col min="8191" max="8191" width="11.1796875" style="203" customWidth="1"/>
    <col min="8192" max="8192" width="6" style="203"/>
    <col min="8193" max="8193" width="10.7265625" style="203" customWidth="1"/>
    <col min="8194" max="8442" width="6" style="203"/>
    <col min="8443" max="8443" width="11.81640625" style="203" customWidth="1"/>
    <col min="8444" max="8444" width="34.7265625" style="203" customWidth="1"/>
    <col min="8445" max="8445" width="39.54296875" style="203" customWidth="1"/>
    <col min="8446" max="8446" width="20.54296875" style="203" customWidth="1"/>
    <col min="8447" max="8447" width="11.1796875" style="203" customWidth="1"/>
    <col min="8448" max="8448" width="6" style="203"/>
    <col min="8449" max="8449" width="10.7265625" style="203" customWidth="1"/>
    <col min="8450" max="8698" width="6" style="203"/>
    <col min="8699" max="8699" width="11.81640625" style="203" customWidth="1"/>
    <col min="8700" max="8700" width="34.7265625" style="203" customWidth="1"/>
    <col min="8701" max="8701" width="39.54296875" style="203" customWidth="1"/>
    <col min="8702" max="8702" width="20.54296875" style="203" customWidth="1"/>
    <col min="8703" max="8703" width="11.1796875" style="203" customWidth="1"/>
    <col min="8704" max="8704" width="6" style="203"/>
    <col min="8705" max="8705" width="10.7265625" style="203" customWidth="1"/>
    <col min="8706" max="8954" width="6" style="203"/>
    <col min="8955" max="8955" width="11.81640625" style="203" customWidth="1"/>
    <col min="8956" max="8956" width="34.7265625" style="203" customWidth="1"/>
    <col min="8957" max="8957" width="39.54296875" style="203" customWidth="1"/>
    <col min="8958" max="8958" width="20.54296875" style="203" customWidth="1"/>
    <col min="8959" max="8959" width="11.1796875" style="203" customWidth="1"/>
    <col min="8960" max="8960" width="6" style="203"/>
    <col min="8961" max="8961" width="10.7265625" style="203" customWidth="1"/>
    <col min="8962" max="9210" width="6" style="203"/>
    <col min="9211" max="9211" width="11.81640625" style="203" customWidth="1"/>
    <col min="9212" max="9212" width="34.7265625" style="203" customWidth="1"/>
    <col min="9213" max="9213" width="39.54296875" style="203" customWidth="1"/>
    <col min="9214" max="9214" width="20.54296875" style="203" customWidth="1"/>
    <col min="9215" max="9215" width="11.1796875" style="203" customWidth="1"/>
    <col min="9216" max="9216" width="6" style="203"/>
    <col min="9217" max="9217" width="10.7265625" style="203" customWidth="1"/>
    <col min="9218" max="9466" width="6" style="203"/>
    <col min="9467" max="9467" width="11.81640625" style="203" customWidth="1"/>
    <col min="9468" max="9468" width="34.7265625" style="203" customWidth="1"/>
    <col min="9469" max="9469" width="39.54296875" style="203" customWidth="1"/>
    <col min="9470" max="9470" width="20.54296875" style="203" customWidth="1"/>
    <col min="9471" max="9471" width="11.1796875" style="203" customWidth="1"/>
    <col min="9472" max="9472" width="6" style="203"/>
    <col min="9473" max="9473" width="10.7265625" style="203" customWidth="1"/>
    <col min="9474" max="9722" width="6" style="203"/>
    <col min="9723" max="9723" width="11.81640625" style="203" customWidth="1"/>
    <col min="9724" max="9724" width="34.7265625" style="203" customWidth="1"/>
    <col min="9725" max="9725" width="39.54296875" style="203" customWidth="1"/>
    <col min="9726" max="9726" width="20.54296875" style="203" customWidth="1"/>
    <col min="9727" max="9727" width="11.1796875" style="203" customWidth="1"/>
    <col min="9728" max="9728" width="6" style="203"/>
    <col min="9729" max="9729" width="10.7265625" style="203" customWidth="1"/>
    <col min="9730" max="9978" width="6" style="203"/>
    <col min="9979" max="9979" width="11.81640625" style="203" customWidth="1"/>
    <col min="9980" max="9980" width="34.7265625" style="203" customWidth="1"/>
    <col min="9981" max="9981" width="39.54296875" style="203" customWidth="1"/>
    <col min="9982" max="9982" width="20.54296875" style="203" customWidth="1"/>
    <col min="9983" max="9983" width="11.1796875" style="203" customWidth="1"/>
    <col min="9984" max="9984" width="6" style="203"/>
    <col min="9985" max="9985" width="10.7265625" style="203" customWidth="1"/>
    <col min="9986" max="10234" width="6" style="203"/>
    <col min="10235" max="10235" width="11.81640625" style="203" customWidth="1"/>
    <col min="10236" max="10236" width="34.7265625" style="203" customWidth="1"/>
    <col min="10237" max="10237" width="39.54296875" style="203" customWidth="1"/>
    <col min="10238" max="10238" width="20.54296875" style="203" customWidth="1"/>
    <col min="10239" max="10239" width="11.1796875" style="203" customWidth="1"/>
    <col min="10240" max="10240" width="6" style="203"/>
    <col min="10241" max="10241" width="10.7265625" style="203" customWidth="1"/>
    <col min="10242" max="10490" width="6" style="203"/>
    <col min="10491" max="10491" width="11.81640625" style="203" customWidth="1"/>
    <col min="10492" max="10492" width="34.7265625" style="203" customWidth="1"/>
    <col min="10493" max="10493" width="39.54296875" style="203" customWidth="1"/>
    <col min="10494" max="10494" width="20.54296875" style="203" customWidth="1"/>
    <col min="10495" max="10495" width="11.1796875" style="203" customWidth="1"/>
    <col min="10496" max="10496" width="6" style="203"/>
    <col min="10497" max="10497" width="10.7265625" style="203" customWidth="1"/>
    <col min="10498" max="10746" width="6" style="203"/>
    <col min="10747" max="10747" width="11.81640625" style="203" customWidth="1"/>
    <col min="10748" max="10748" width="34.7265625" style="203" customWidth="1"/>
    <col min="10749" max="10749" width="39.54296875" style="203" customWidth="1"/>
    <col min="10750" max="10750" width="20.54296875" style="203" customWidth="1"/>
    <col min="10751" max="10751" width="11.1796875" style="203" customWidth="1"/>
    <col min="10752" max="10752" width="6" style="203"/>
    <col min="10753" max="10753" width="10.7265625" style="203" customWidth="1"/>
    <col min="10754" max="11002" width="6" style="203"/>
    <col min="11003" max="11003" width="11.81640625" style="203" customWidth="1"/>
    <col min="11004" max="11004" width="34.7265625" style="203" customWidth="1"/>
    <col min="11005" max="11005" width="39.54296875" style="203" customWidth="1"/>
    <col min="11006" max="11006" width="20.54296875" style="203" customWidth="1"/>
    <col min="11007" max="11007" width="11.1796875" style="203" customWidth="1"/>
    <col min="11008" max="11008" width="6" style="203"/>
    <col min="11009" max="11009" width="10.7265625" style="203" customWidth="1"/>
    <col min="11010" max="11258" width="6" style="203"/>
    <col min="11259" max="11259" width="11.81640625" style="203" customWidth="1"/>
    <col min="11260" max="11260" width="34.7265625" style="203" customWidth="1"/>
    <col min="11261" max="11261" width="39.54296875" style="203" customWidth="1"/>
    <col min="11262" max="11262" width="20.54296875" style="203" customWidth="1"/>
    <col min="11263" max="11263" width="11.1796875" style="203" customWidth="1"/>
    <col min="11264" max="11264" width="6" style="203"/>
    <col min="11265" max="11265" width="10.7265625" style="203" customWidth="1"/>
    <col min="11266" max="11514" width="6" style="203"/>
    <col min="11515" max="11515" width="11.81640625" style="203" customWidth="1"/>
    <col min="11516" max="11516" width="34.7265625" style="203" customWidth="1"/>
    <col min="11517" max="11517" width="39.54296875" style="203" customWidth="1"/>
    <col min="11518" max="11518" width="20.54296875" style="203" customWidth="1"/>
    <col min="11519" max="11519" width="11.1796875" style="203" customWidth="1"/>
    <col min="11520" max="11520" width="6" style="203"/>
    <col min="11521" max="11521" width="10.7265625" style="203" customWidth="1"/>
    <col min="11522" max="11770" width="6" style="203"/>
    <col min="11771" max="11771" width="11.81640625" style="203" customWidth="1"/>
    <col min="11772" max="11772" width="34.7265625" style="203" customWidth="1"/>
    <col min="11773" max="11773" width="39.54296875" style="203" customWidth="1"/>
    <col min="11774" max="11774" width="20.54296875" style="203" customWidth="1"/>
    <col min="11775" max="11775" width="11.1796875" style="203" customWidth="1"/>
    <col min="11776" max="11776" width="6" style="203"/>
    <col min="11777" max="11777" width="10.7265625" style="203" customWidth="1"/>
    <col min="11778" max="12026" width="6" style="203"/>
    <col min="12027" max="12027" width="11.81640625" style="203" customWidth="1"/>
    <col min="12028" max="12028" width="34.7265625" style="203" customWidth="1"/>
    <col min="12029" max="12029" width="39.54296875" style="203" customWidth="1"/>
    <col min="12030" max="12030" width="20.54296875" style="203" customWidth="1"/>
    <col min="12031" max="12031" width="11.1796875" style="203" customWidth="1"/>
    <col min="12032" max="12032" width="6" style="203"/>
    <col min="12033" max="12033" width="10.7265625" style="203" customWidth="1"/>
    <col min="12034" max="12282" width="6" style="203"/>
    <col min="12283" max="12283" width="11.81640625" style="203" customWidth="1"/>
    <col min="12284" max="12284" width="34.7265625" style="203" customWidth="1"/>
    <col min="12285" max="12285" width="39.54296875" style="203" customWidth="1"/>
    <col min="12286" max="12286" width="20.54296875" style="203" customWidth="1"/>
    <col min="12287" max="12287" width="11.1796875" style="203" customWidth="1"/>
    <col min="12288" max="12288" width="6" style="203"/>
    <col min="12289" max="12289" width="10.7265625" style="203" customWidth="1"/>
    <col min="12290" max="12538" width="6" style="203"/>
    <col min="12539" max="12539" width="11.81640625" style="203" customWidth="1"/>
    <col min="12540" max="12540" width="34.7265625" style="203" customWidth="1"/>
    <col min="12541" max="12541" width="39.54296875" style="203" customWidth="1"/>
    <col min="12542" max="12542" width="20.54296875" style="203" customWidth="1"/>
    <col min="12543" max="12543" width="11.1796875" style="203" customWidth="1"/>
    <col min="12544" max="12544" width="6" style="203"/>
    <col min="12545" max="12545" width="10.7265625" style="203" customWidth="1"/>
    <col min="12546" max="12794" width="6" style="203"/>
    <col min="12795" max="12795" width="11.81640625" style="203" customWidth="1"/>
    <col min="12796" max="12796" width="34.7265625" style="203" customWidth="1"/>
    <col min="12797" max="12797" width="39.54296875" style="203" customWidth="1"/>
    <col min="12798" max="12798" width="20.54296875" style="203" customWidth="1"/>
    <col min="12799" max="12799" width="11.1796875" style="203" customWidth="1"/>
    <col min="12800" max="12800" width="6" style="203"/>
    <col min="12801" max="12801" width="10.7265625" style="203" customWidth="1"/>
    <col min="12802" max="13050" width="6" style="203"/>
    <col min="13051" max="13051" width="11.81640625" style="203" customWidth="1"/>
    <col min="13052" max="13052" width="34.7265625" style="203" customWidth="1"/>
    <col min="13053" max="13053" width="39.54296875" style="203" customWidth="1"/>
    <col min="13054" max="13054" width="20.54296875" style="203" customWidth="1"/>
    <col min="13055" max="13055" width="11.1796875" style="203" customWidth="1"/>
    <col min="13056" max="13056" width="6" style="203"/>
    <col min="13057" max="13057" width="10.7265625" style="203" customWidth="1"/>
    <col min="13058" max="13306" width="6" style="203"/>
    <col min="13307" max="13307" width="11.81640625" style="203" customWidth="1"/>
    <col min="13308" max="13308" width="34.7265625" style="203" customWidth="1"/>
    <col min="13309" max="13309" width="39.54296875" style="203" customWidth="1"/>
    <col min="13310" max="13310" width="20.54296875" style="203" customWidth="1"/>
    <col min="13311" max="13311" width="11.1796875" style="203" customWidth="1"/>
    <col min="13312" max="13312" width="6" style="203"/>
    <col min="13313" max="13313" width="10.7265625" style="203" customWidth="1"/>
    <col min="13314" max="13562" width="6" style="203"/>
    <col min="13563" max="13563" width="11.81640625" style="203" customWidth="1"/>
    <col min="13564" max="13564" width="34.7265625" style="203" customWidth="1"/>
    <col min="13565" max="13565" width="39.54296875" style="203" customWidth="1"/>
    <col min="13566" max="13566" width="20.54296875" style="203" customWidth="1"/>
    <col min="13567" max="13567" width="11.1796875" style="203" customWidth="1"/>
    <col min="13568" max="13568" width="6" style="203"/>
    <col min="13569" max="13569" width="10.7265625" style="203" customWidth="1"/>
    <col min="13570" max="13818" width="6" style="203"/>
    <col min="13819" max="13819" width="11.81640625" style="203" customWidth="1"/>
    <col min="13820" max="13820" width="34.7265625" style="203" customWidth="1"/>
    <col min="13821" max="13821" width="39.54296875" style="203" customWidth="1"/>
    <col min="13822" max="13822" width="20.54296875" style="203" customWidth="1"/>
    <col min="13823" max="13823" width="11.1796875" style="203" customWidth="1"/>
    <col min="13824" max="13824" width="6" style="203"/>
    <col min="13825" max="13825" width="10.7265625" style="203" customWidth="1"/>
    <col min="13826" max="14074" width="6" style="203"/>
    <col min="14075" max="14075" width="11.81640625" style="203" customWidth="1"/>
    <col min="14076" max="14076" width="34.7265625" style="203" customWidth="1"/>
    <col min="14077" max="14077" width="39.54296875" style="203" customWidth="1"/>
    <col min="14078" max="14078" width="20.54296875" style="203" customWidth="1"/>
    <col min="14079" max="14079" width="11.1796875" style="203" customWidth="1"/>
    <col min="14080" max="14080" width="6" style="203"/>
    <col min="14081" max="14081" width="10.7265625" style="203" customWidth="1"/>
    <col min="14082" max="14330" width="6" style="203"/>
    <col min="14331" max="14331" width="11.81640625" style="203" customWidth="1"/>
    <col min="14332" max="14332" width="34.7265625" style="203" customWidth="1"/>
    <col min="14333" max="14333" width="39.54296875" style="203" customWidth="1"/>
    <col min="14334" max="14334" width="20.54296875" style="203" customWidth="1"/>
    <col min="14335" max="14335" width="11.1796875" style="203" customWidth="1"/>
    <col min="14336" max="14336" width="6" style="203"/>
    <col min="14337" max="14337" width="10.7265625" style="203" customWidth="1"/>
    <col min="14338" max="14586" width="6" style="203"/>
    <col min="14587" max="14587" width="11.81640625" style="203" customWidth="1"/>
    <col min="14588" max="14588" width="34.7265625" style="203" customWidth="1"/>
    <col min="14589" max="14589" width="39.54296875" style="203" customWidth="1"/>
    <col min="14590" max="14590" width="20.54296875" style="203" customWidth="1"/>
    <col min="14591" max="14591" width="11.1796875" style="203" customWidth="1"/>
    <col min="14592" max="14592" width="6" style="203"/>
    <col min="14593" max="14593" width="10.7265625" style="203" customWidth="1"/>
    <col min="14594" max="14842" width="6" style="203"/>
    <col min="14843" max="14843" width="11.81640625" style="203" customWidth="1"/>
    <col min="14844" max="14844" width="34.7265625" style="203" customWidth="1"/>
    <col min="14845" max="14845" width="39.54296875" style="203" customWidth="1"/>
    <col min="14846" max="14846" width="20.54296875" style="203" customWidth="1"/>
    <col min="14847" max="14847" width="11.1796875" style="203" customWidth="1"/>
    <col min="14848" max="14848" width="6" style="203"/>
    <col min="14849" max="14849" width="10.7265625" style="203" customWidth="1"/>
    <col min="14850" max="15098" width="6" style="203"/>
    <col min="15099" max="15099" width="11.81640625" style="203" customWidth="1"/>
    <col min="15100" max="15100" width="34.7265625" style="203" customWidth="1"/>
    <col min="15101" max="15101" width="39.54296875" style="203" customWidth="1"/>
    <col min="15102" max="15102" width="20.54296875" style="203" customWidth="1"/>
    <col min="15103" max="15103" width="11.1796875" style="203" customWidth="1"/>
    <col min="15104" max="15104" width="6" style="203"/>
    <col min="15105" max="15105" width="10.7265625" style="203" customWidth="1"/>
    <col min="15106" max="15354" width="6" style="203"/>
    <col min="15355" max="15355" width="11.81640625" style="203" customWidth="1"/>
    <col min="15356" max="15356" width="34.7265625" style="203" customWidth="1"/>
    <col min="15357" max="15357" width="39.54296875" style="203" customWidth="1"/>
    <col min="15358" max="15358" width="20.54296875" style="203" customWidth="1"/>
    <col min="15359" max="15359" width="11.1796875" style="203" customWidth="1"/>
    <col min="15360" max="15360" width="6" style="203"/>
    <col min="15361" max="15361" width="10.7265625" style="203" customWidth="1"/>
    <col min="15362" max="15610" width="6" style="203"/>
    <col min="15611" max="15611" width="11.81640625" style="203" customWidth="1"/>
    <col min="15612" max="15612" width="34.7265625" style="203" customWidth="1"/>
    <col min="15613" max="15613" width="39.54296875" style="203" customWidth="1"/>
    <col min="15614" max="15614" width="20.54296875" style="203" customWidth="1"/>
    <col min="15615" max="15615" width="11.1796875" style="203" customWidth="1"/>
    <col min="15616" max="15616" width="6" style="203"/>
    <col min="15617" max="15617" width="10.7265625" style="203" customWidth="1"/>
    <col min="15618" max="15866" width="6" style="203"/>
    <col min="15867" max="15867" width="11.81640625" style="203" customWidth="1"/>
    <col min="15868" max="15868" width="34.7265625" style="203" customWidth="1"/>
    <col min="15869" max="15869" width="39.54296875" style="203" customWidth="1"/>
    <col min="15870" max="15870" width="20.54296875" style="203" customWidth="1"/>
    <col min="15871" max="15871" width="11.1796875" style="203" customWidth="1"/>
    <col min="15872" max="15872" width="6" style="203"/>
    <col min="15873" max="15873" width="10.7265625" style="203" customWidth="1"/>
    <col min="15874" max="16122" width="6" style="203"/>
    <col min="16123" max="16123" width="11.81640625" style="203" customWidth="1"/>
    <col min="16124" max="16124" width="34.7265625" style="203" customWidth="1"/>
    <col min="16125" max="16125" width="39.54296875" style="203" customWidth="1"/>
    <col min="16126" max="16126" width="20.54296875" style="203" customWidth="1"/>
    <col min="16127" max="16127" width="11.1796875" style="203" customWidth="1"/>
    <col min="16128" max="16128" width="6" style="203"/>
    <col min="16129" max="16129" width="10.7265625" style="203" customWidth="1"/>
    <col min="16130" max="16384" width="6" style="203"/>
  </cols>
  <sheetData>
    <row r="1" spans="1:5" ht="13">
      <c r="A1" s="343" t="s">
        <v>107</v>
      </c>
      <c r="B1" s="344"/>
      <c r="C1" s="344"/>
      <c r="D1" s="213"/>
    </row>
    <row r="2" spans="1:5" ht="13">
      <c r="A2" s="214"/>
      <c r="B2" s="329" t="s">
        <v>3</v>
      </c>
      <c r="C2" s="329"/>
      <c r="D2" s="215" t="s">
        <v>29</v>
      </c>
    </row>
    <row r="3" spans="1:5" ht="13">
      <c r="A3" s="214"/>
      <c r="B3" s="346"/>
      <c r="C3" s="346"/>
      <c r="D3" s="215" t="s">
        <v>108</v>
      </c>
    </row>
    <row r="4" spans="1:5" s="207" customFormat="1">
      <c r="A4" s="216">
        <v>1</v>
      </c>
      <c r="B4" s="324" t="s">
        <v>0</v>
      </c>
      <c r="C4" s="324"/>
      <c r="D4" s="275">
        <f>Summary!D8</f>
        <v>0</v>
      </c>
      <c r="E4" s="236"/>
    </row>
    <row r="5" spans="1:5" s="207" customFormat="1" ht="25.5" customHeight="1">
      <c r="A5" s="216">
        <v>3</v>
      </c>
      <c r="B5" s="324" t="s">
        <v>118</v>
      </c>
      <c r="C5" s="324"/>
      <c r="D5" s="275">
        <f>Summary!D16</f>
        <v>0</v>
      </c>
      <c r="E5" s="236"/>
    </row>
    <row r="6" spans="1:5" s="207" customFormat="1">
      <c r="A6" s="216">
        <v>4</v>
      </c>
      <c r="B6" s="324" t="s">
        <v>222</v>
      </c>
      <c r="C6" s="324"/>
      <c r="D6" s="275">
        <f>Summary!D42</f>
        <v>0</v>
      </c>
      <c r="E6" s="236"/>
    </row>
    <row r="7" spans="1:5" s="207" customFormat="1" ht="13" thickBot="1">
      <c r="A7" s="217"/>
      <c r="B7" s="345"/>
      <c r="C7" s="345"/>
      <c r="D7" s="286"/>
      <c r="E7" s="236"/>
    </row>
    <row r="8" spans="1:5" s="207" customFormat="1" ht="13" thickBot="1">
      <c r="A8" s="218"/>
      <c r="B8" s="337" t="s">
        <v>110</v>
      </c>
      <c r="C8" s="338"/>
      <c r="D8" s="287">
        <f>SUM(D4:D6)</f>
        <v>0</v>
      </c>
      <c r="E8" s="236"/>
    </row>
    <row r="9" spans="1:5" s="207" customFormat="1" ht="13" thickBot="1">
      <c r="A9" s="219" t="s">
        <v>339</v>
      </c>
      <c r="B9" s="339" t="s">
        <v>340</v>
      </c>
      <c r="C9" s="340"/>
      <c r="D9" s="288">
        <f>D8*15%</f>
        <v>0</v>
      </c>
      <c r="E9" s="220"/>
    </row>
    <row r="10" spans="1:5" s="209" customFormat="1" ht="13.5" thickBot="1">
      <c r="A10" s="221"/>
      <c r="B10" s="341" t="s">
        <v>341</v>
      </c>
      <c r="C10" s="342"/>
      <c r="D10" s="289">
        <f>D8+D9</f>
        <v>0</v>
      </c>
    </row>
    <row r="11" spans="1:5" s="207" customFormat="1">
      <c r="A11" s="222"/>
      <c r="B11" s="223"/>
      <c r="C11" s="224"/>
      <c r="D11" s="225"/>
    </row>
    <row r="12" spans="1:5" s="228" customFormat="1">
      <c r="A12" s="226" t="s">
        <v>342</v>
      </c>
      <c r="B12" s="227"/>
      <c r="C12" s="228" t="s">
        <v>343</v>
      </c>
      <c r="D12" s="229"/>
    </row>
    <row r="13" spans="1:5" s="207" customFormat="1" ht="13">
      <c r="A13" s="230" t="s">
        <v>344</v>
      </c>
      <c r="C13" s="231" t="s">
        <v>345</v>
      </c>
      <c r="D13" s="225"/>
    </row>
    <row r="14" spans="1:5" s="207" customFormat="1" ht="13">
      <c r="A14" s="230"/>
      <c r="C14" s="231"/>
      <c r="D14" s="225"/>
    </row>
    <row r="15" spans="1:5" s="228" customFormat="1">
      <c r="A15" s="226" t="s">
        <v>342</v>
      </c>
      <c r="B15" s="227"/>
      <c r="C15" s="228" t="s">
        <v>343</v>
      </c>
      <c r="D15" s="229"/>
    </row>
    <row r="16" spans="1:5" s="207" customFormat="1" ht="13.5" thickBot="1">
      <c r="A16" s="232" t="s">
        <v>346</v>
      </c>
      <c r="B16" s="233"/>
      <c r="C16" s="234" t="s">
        <v>347</v>
      </c>
      <c r="D16" s="235"/>
    </row>
  </sheetData>
  <mergeCells count="10">
    <mergeCell ref="B8:C8"/>
    <mergeCell ref="B9:C9"/>
    <mergeCell ref="B10:C10"/>
    <mergeCell ref="A1:C1"/>
    <mergeCell ref="B2:C2"/>
    <mergeCell ref="B4:C4"/>
    <mergeCell ref="B5:C5"/>
    <mergeCell ref="B6:C6"/>
    <mergeCell ref="B7:C7"/>
    <mergeCell ref="B3:C3"/>
  </mergeCells>
  <pageMargins left="0.7" right="0.7" top="0.75" bottom="0.75" header="0.3" footer="0.3"/>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P&amp;G's</vt:lpstr>
      <vt:lpstr>BOQ (3)</vt:lpstr>
      <vt:lpstr>Summary</vt:lpstr>
      <vt:lpstr>Total summary</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Basetsana Makgoka</dc:creator>
  <cp:lastModifiedBy>Basetsana Makgoka</cp:lastModifiedBy>
  <dcterms:created xsi:type="dcterms:W3CDTF">2024-07-30T12:01:57Z</dcterms:created>
  <dcterms:modified xsi:type="dcterms:W3CDTF">2025-04-04T12:09:21Z</dcterms:modified>
</cp:coreProperties>
</file>